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xWindow="240" yWindow="15" windowWidth="16095" windowHeight="9660" tabRatio="600" firstSheet="0" activeTab="0" autoFilterDateGrouping="1"/>
  </bookViews>
  <sheets>
    <sheet xmlns:r="http://schemas.openxmlformats.org/officeDocument/2006/relationships" name="Inputs" sheetId="1" state="visible" r:id="rId1"/>
    <sheet xmlns:r="http://schemas.openxmlformats.org/officeDocument/2006/relationships" name="Drivers_Plan" sheetId="2" state="visible" r:id="rId2"/>
    <sheet xmlns:r="http://schemas.openxmlformats.org/officeDocument/2006/relationships" name="Weekly_Cash" sheetId="3" state="visible" r:id="rId3"/>
    <sheet xmlns:r="http://schemas.openxmlformats.org/officeDocument/2006/relationships" name="Debt_Schedule" sheetId="4" state="visible" r:id="rId4"/>
    <sheet xmlns:r="http://schemas.openxmlformats.org/officeDocument/2006/relationships" name="Breakeven" sheetId="5" state="visible" r:id="rId5"/>
    <sheet xmlns:r="http://schemas.openxmlformats.org/officeDocument/2006/relationships" name="Trade_Off" sheetId="6" state="visible" r:id="rId6"/>
    <sheet xmlns:r="http://schemas.openxmlformats.org/officeDocument/2006/relationships" name="README" sheetId="7" state="visible" r:id="rId7"/>
  </sheets>
  <definedNames>
    <definedName name="AutoLoanAPR48">Inputs!$C$13</definedName>
    <definedName name="CapexPlanA">Inputs!$C$27</definedName>
    <definedName name="CapexPlanB">Inputs!$C$28</definedName>
    <definedName name="CapexPlanC">Inputs!$C$29</definedName>
    <definedName name="CashOnHand">Inputs!$C$12</definedName>
    <definedName name="FedFunds">Inputs!$C$14</definedName>
    <definedName name="IncFast">Inputs!$C$37</definedName>
    <definedName name="IncMed">Inputs!$C$36</definedName>
    <definedName name="IncSlow">Inputs!$C$35</definedName>
    <definedName name="LoanAPR60">Inputs!$C$15</definedName>
    <definedName name="LoanPlanA">Inputs!$C$30</definedName>
    <definedName name="LoanPlanB">Inputs!$C$31</definedName>
    <definedName name="LoanPlanC">Inputs!$C$32</definedName>
    <definedName name="LoanRateHigh">Inputs!$C$17</definedName>
    <definedName name="LoanRateLow">Inputs!$C$16</definedName>
    <definedName name="OpsBase">Inputs!$C$22</definedName>
    <definedName name="OpsHigh">Inputs!$C$24</definedName>
    <definedName name="OpsLow">Inputs!$C$23</definedName>
    <definedName name="OwnerDraw">Inputs!$C$19</definedName>
  </definedNames>
  <calcPr calcId="124519" fullCalcOnLoad="1"/>
</workbook>
</file>

<file path=xl/styles.xml><?xml version="1.0" encoding="utf-8"?>
<styleSheet xmlns="http://schemas.openxmlformats.org/spreadsheetml/2006/main">
  <numFmts count="1">
    <numFmt numFmtId="164" formatCode="0.0"/>
  </numFmts>
  <fonts count="9">
    <font>
      <name val="Calibri"/>
      <family val="2"/>
      <color theme="1"/>
      <sz val="11"/>
      <scheme val="minor"/>
    </font>
    <font>
      <name val="Calibri"/>
      <family val="2"/>
      <b val="1"/>
      <color rgb="FF1F4E78"/>
      <sz val="16"/>
      <scheme val="minor"/>
    </font>
    <font>
      <name val="Calibri"/>
      <family val="2"/>
      <i val="1"/>
      <color rgb="FF595959"/>
      <sz val="10"/>
      <scheme val="minor"/>
    </font>
    <font>
      <name val="Calibri"/>
      <family val="2"/>
      <b val="1"/>
      <color rgb="FF1F4E78"/>
      <sz val="11"/>
      <scheme val="minor"/>
    </font>
    <font>
      <name val="Calibri"/>
      <family val="2"/>
      <b val="1"/>
      <color theme="1"/>
      <sz val="11"/>
      <scheme val="minor"/>
    </font>
    <font>
      <name val="Calibri"/>
      <family val="2"/>
      <i val="1"/>
      <color rgb="FF7F7F7F"/>
      <sz val="9"/>
      <scheme val="minor"/>
    </font>
    <font>
      <name val="Calibri"/>
      <family val="2"/>
      <b val="1"/>
      <color rgb="FFFFFFFF"/>
      <sz val="11"/>
      <scheme val="minor"/>
    </font>
    <font>
      <name val="Calibri"/>
      <family val="2"/>
      <i val="1"/>
      <color theme="1"/>
      <sz val="11"/>
      <scheme val="minor"/>
    </font>
    <font>
      <name val="Calibri"/>
      <family val="2"/>
      <b val="1"/>
      <color rgb="FF833C0C"/>
      <sz val="11"/>
      <scheme val="minor"/>
    </font>
  </fonts>
  <fills count="6">
    <fill>
      <patternFill/>
    </fill>
    <fill>
      <patternFill patternType="gray125"/>
    </fill>
    <fill>
      <patternFill patternType="solid">
        <fgColor rgb="FFD9E1F2"/>
        <bgColor indexed="64"/>
      </patternFill>
    </fill>
    <fill>
      <patternFill patternType="solid">
        <fgColor rgb="FFFFF2CC"/>
        <bgColor indexed="64"/>
      </patternFill>
    </fill>
    <fill>
      <patternFill patternType="solid">
        <fgColor rgb="FF1F4E78"/>
        <bgColor indexed="64"/>
      </patternFill>
    </fill>
    <fill>
      <patternFill patternType="solid">
        <fgColor rgb="FFFCE4D6"/>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medium">
        <color auto="1"/>
      </top>
      <bottom style="thin">
        <color auto="1"/>
      </bottom>
      <diagonal/>
    </border>
    <border>
      <left/>
      <right/>
      <top style="thin">
        <color auto="1"/>
      </top>
      <bottom/>
      <diagonal/>
    </border>
    <border>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29">
    <xf numFmtId="0" fontId="0" fillId="0" borderId="0" pivotButton="0" quotePrefix="0" xfId="0"/>
    <xf numFmtId="0" fontId="1" fillId="0" borderId="0" applyAlignment="1" pivotButton="0" quotePrefix="0" xfId="0">
      <alignment horizontal="left" vertical="center"/>
    </xf>
    <xf numFmtId="0" fontId="2" fillId="0" borderId="0" pivotButton="0" quotePrefix="0" xfId="0"/>
    <xf numFmtId="0" fontId="3" fillId="2" borderId="1" applyAlignment="1" pivotButton="0" quotePrefix="0" xfId="0">
      <alignment horizontal="left"/>
    </xf>
    <xf numFmtId="0" fontId="0" fillId="0" borderId="1" applyAlignment="1" pivotButton="0" quotePrefix="0" xfId="0">
      <alignment horizontal="left"/>
    </xf>
    <xf numFmtId="0" fontId="4" fillId="3" borderId="1" applyAlignment="1" pivotButton="0" quotePrefix="0" xfId="0">
      <alignment horizontal="left"/>
    </xf>
    <xf numFmtId="0" fontId="5" fillId="0" borderId="0" applyAlignment="1" pivotButton="0" quotePrefix="0" xfId="0">
      <alignment horizontal="left" vertical="top" wrapText="1"/>
    </xf>
    <xf numFmtId="38" fontId="4" fillId="3" borderId="1" pivotButton="0" quotePrefix="0" xfId="0"/>
    <xf numFmtId="10" fontId="4" fillId="3" borderId="1" pivotButton="0" quotePrefix="0" xfId="0"/>
    <xf numFmtId="0" fontId="6" fillId="4" borderId="1" applyAlignment="1" pivotButton="0" quotePrefix="0" xfId="0">
      <alignment horizontal="center" vertical="center" wrapText="1"/>
    </xf>
    <xf numFmtId="0" fontId="4" fillId="0" borderId="1" applyAlignment="1" pivotButton="0" quotePrefix="0" xfId="0">
      <alignment horizontal="left"/>
    </xf>
    <xf numFmtId="38" fontId="4" fillId="3" borderId="2" pivotButton="0" quotePrefix="0" xfId="0"/>
    <xf numFmtId="38" fontId="0" fillId="0" borderId="1" pivotButton="0" quotePrefix="0" xfId="0"/>
    <xf numFmtId="38" fontId="4" fillId="0" borderId="1" pivotButton="0" quotePrefix="0" xfId="0"/>
    <xf numFmtId="0" fontId="7" fillId="0" borderId="1" applyAlignment="1" pivotButton="0" quotePrefix="0" xfId="0">
      <alignment horizontal="left" indent="1"/>
    </xf>
    <xf numFmtId="0" fontId="8" fillId="5" borderId="1" applyAlignment="1" pivotButton="0" quotePrefix="0" xfId="0">
      <alignment horizontal="left"/>
    </xf>
    <xf numFmtId="164" fontId="4" fillId="0" borderId="1" pivotButton="0" quotePrefix="0" xfId="0"/>
    <xf numFmtId="164" fontId="0" fillId="0" borderId="1" pivotButton="0" quotePrefix="0" xfId="0"/>
    <xf numFmtId="0" fontId="0" fillId="0" borderId="1" applyAlignment="1" pivotButton="0" quotePrefix="0" xfId="0">
      <alignment horizontal="left" wrapText="1"/>
    </xf>
    <xf numFmtId="0" fontId="5" fillId="0" borderId="0" applyAlignment="1" pivotButton="0" quotePrefix="0" xfId="0">
      <alignment vertical="top" wrapText="1"/>
    </xf>
    <xf numFmtId="0" fontId="0" fillId="0" borderId="5" pivotButton="0" quotePrefix="0" xfId="0"/>
    <xf numFmtId="0" fontId="0" fillId="0" borderId="6" pivotButton="0" quotePrefix="0" xfId="0"/>
    <xf numFmtId="38" fontId="4" fillId="3" borderId="1" pivotButton="0" quotePrefix="0" xfId="0"/>
    <xf numFmtId="10" fontId="4" fillId="3" borderId="1" pivotButton="0" quotePrefix="0" xfId="0"/>
    <xf numFmtId="38" fontId="4" fillId="3" borderId="2" pivotButton="0" quotePrefix="0" xfId="0"/>
    <xf numFmtId="38" fontId="0" fillId="0" borderId="1" pivotButton="0" quotePrefix="0" xfId="0"/>
    <xf numFmtId="38" fontId="4" fillId="0" borderId="1" pivotButton="0" quotePrefix="0" xfId="0"/>
    <xf numFmtId="164" fontId="4" fillId="0" borderId="1" pivotButton="0" quotePrefix="0" xfId="0"/>
    <xf numFmtId="164" fontId="0" fillId="0" borderId="1" pivotButton="0" quotePrefix="0" xfId="0"/>
  </cellXfs>
  <cellStyles count="1">
    <cellStyle name="Normal"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FF1F4E78"/>
    <outlinePr summaryBelow="1" summaryRight="1"/>
    <pageSetUpPr/>
  </sheetPr>
  <dimension ref="B1:D40"/>
  <sheetViews>
    <sheetView tabSelected="1" workbookViewId="0">
      <selection activeCell="A1" sqref="A1"/>
    </sheetView>
  </sheetViews>
  <sheetFormatPr baseColWidth="8" defaultRowHeight="15"/>
  <cols>
    <col width="2.7109375" customWidth="1" min="1" max="1"/>
    <col width="42.7109375" customWidth="1" min="2" max="2"/>
    <col width="18.7109375" customWidth="1" min="3" max="3"/>
    <col width="56.7109375" customWidth="1" min="4" max="4"/>
  </cols>
  <sheetData>
    <row r="1" ht="28" customHeight="1">
      <c r="B1" s="1" t="inlineStr">
        <is>
          <t>Simkins &amp; Elgazar LLC - EV Repositioning Cash Model</t>
        </is>
      </c>
    </row>
    <row r="2">
      <c r="B2" s="2" t="inlineStr">
        <is>
          <t>Parametric inputs. Yellow cells hold the only raw values; every other figure in this workbook is a formula referencing one of them.</t>
        </is>
      </c>
    </row>
    <row r="4">
      <c r="B4" s="3" t="inlineStr">
        <is>
          <t>Engagement and period</t>
        </is>
      </c>
      <c r="C4" s="20" t="n"/>
      <c r="D4" s="21" t="n"/>
    </row>
    <row r="5">
      <c r="B5" s="4" t="inlineStr">
        <is>
          <t>Engagement date (model run)</t>
        </is>
      </c>
      <c r="C5" s="5" t="inlineStr">
        <is>
          <t>2026-08-13</t>
        </is>
      </c>
      <c r="D5" s="6" t="inlineStr">
        <is>
          <t>Today.</t>
        </is>
      </c>
    </row>
    <row r="6">
      <c r="B6" s="4" t="inlineStr">
        <is>
          <t>Forecast start week (Monday)</t>
        </is>
      </c>
      <c r="C6" s="5" t="inlineStr">
        <is>
          <t>2026-08-17</t>
        </is>
      </c>
      <c r="D6" s="6" t="inlineStr">
        <is>
          <t>13 weeks follow.</t>
        </is>
      </c>
    </row>
    <row r="7">
      <c r="B7" s="4" t="inlineStr">
        <is>
          <t>Number of weeks</t>
        </is>
      </c>
      <c r="C7" s="5" t="n">
        <v>13</v>
      </c>
      <c r="D7" s="6" t="inlineStr">
        <is>
          <t>Standard 13-week cash horizon.</t>
        </is>
      </c>
    </row>
    <row r="8">
      <c r="B8" s="4" t="inlineStr">
        <is>
          <t>Reporting entity</t>
        </is>
      </c>
      <c r="C8" s="5" t="inlineStr">
        <is>
          <t>Simkins &amp; Elgazar LLC</t>
        </is>
      </c>
      <c r="D8" s="6" t="inlineStr">
        <is>
          <t>Tax status ASSUMED partnership equal-ownership.</t>
        </is>
      </c>
    </row>
    <row r="9">
      <c r="B9" s="4" t="inlineStr">
        <is>
          <t>Locations in scope</t>
        </is>
      </c>
      <c r="C9" s="5" t="inlineStr">
        <is>
          <t>Pierce County (Tacoma); Spokane County (Spokane)</t>
        </is>
      </c>
      <c r="D9" s="6" t="inlineStr">
        <is>
          <t>Two repair shops.</t>
        </is>
      </c>
    </row>
    <row r="11">
      <c r="B11" s="3" t="inlineStr">
        <is>
          <t>Capital base and instrument rates</t>
        </is>
      </c>
      <c r="C11" s="20" t="n"/>
      <c r="D11" s="21" t="n"/>
    </row>
    <row r="12">
      <c r="B12" s="4" t="inlineStr">
        <is>
          <t>Cash on hand (owner-stated)</t>
        </is>
      </c>
      <c r="C12" s="22" t="n">
        <v>150000</v>
      </c>
      <c r="D12" s="6" t="inlineStr">
        <is>
          <t>Brief: "about 150k saved to reposition one shop".</t>
        </is>
      </c>
    </row>
    <row r="13">
      <c r="B13" s="4" t="inlineStr">
        <is>
          <t>48-mo new-auto loan APR (FRED TERMCBAUTO48NS)</t>
        </is>
      </c>
      <c r="C13" s="23" t="n">
        <v>0.0747</v>
      </c>
      <c r="D13" s="6" t="inlineStr">
        <is>
          <t>May 2026 obs 7.47%, FRED.</t>
        </is>
      </c>
    </row>
    <row r="14">
      <c r="B14" s="4" t="inlineStr">
        <is>
          <t>Fed funds effective rate (FEDFUNDS, benchmark)</t>
        </is>
      </c>
      <c r="C14" s="23" t="n">
        <v>0.0363</v>
      </c>
      <c r="D14" s="6" t="inlineStr">
        <is>
          <t>July 2026 reading from fred_fedfunds.csv.</t>
        </is>
      </c>
    </row>
    <row r="15">
      <c r="B15" s="4" t="inlineStr">
        <is>
          <t>60-mo equipment loan assumed APR</t>
        </is>
      </c>
      <c r="C15" s="23" t="n">
        <v>0.0762</v>
      </c>
      <c r="D15" s="6" t="inlineStr">
        <is>
          <t>+15 bps over 48-mo for term.</t>
        </is>
      </c>
    </row>
    <row r="16">
      <c r="B16" s="4" t="inlineStr">
        <is>
          <t>Rate stress (low)</t>
        </is>
      </c>
      <c r="C16" s="23" t="n">
        <v>0.0597</v>
      </c>
      <c r="D16" s="6" t="inlineStr">
        <is>
          <t>Best-case negotiation.</t>
        </is>
      </c>
    </row>
    <row r="17">
      <c r="B17" s="4" t="inlineStr">
        <is>
          <t>Rate stress (high)</t>
        </is>
      </c>
      <c r="C17" s="23" t="n">
        <v>0.0897</v>
      </c>
      <c r="D17" s="6" t="inlineStr">
        <is>
          <t>Weak credit / small-bank premium.</t>
        </is>
      </c>
    </row>
    <row r="18">
      <c r="B18" s="4" t="inlineStr">
        <is>
          <t>Loan term (months)</t>
        </is>
      </c>
      <c r="C18" s="5" t="n">
        <v>60</v>
      </c>
      <c r="D18" s="6" t="inlineStr">
        <is>
          <t>60 months; weekly equivalent = 260 pay periods.</t>
        </is>
      </c>
    </row>
    <row r="19">
      <c r="B19" s="4" t="inlineStr">
        <is>
          <t>Owner weekly draw (personal)</t>
        </is>
      </c>
      <c r="C19" s="22" t="n">
        <v>3000</v>
      </c>
      <c r="D19" s="6" t="inlineStr">
        <is>
          <t>PLACEHOLDER until shop P&amp;L arrives.</t>
        </is>
      </c>
    </row>
    <row r="21">
      <c r="B21" s="3" t="inlineStr">
        <is>
          <t>Shop operating cash (placeholders until P&amp;L arrives)</t>
        </is>
      </c>
      <c r="C21" s="20" t="n"/>
      <c r="D21" s="21" t="n"/>
    </row>
    <row r="22">
      <c r="B22" s="4" t="inlineStr">
        <is>
          <t>Weekly net ops cash, BASE case</t>
        </is>
      </c>
      <c r="C22" s="22" t="n">
        <v>12000</v>
      </c>
      <c r="D22" s="6" t="inlineStr">
        <is>
          <t>Aggregate both shops. ~$624k/yr placeholder.</t>
        </is>
      </c>
    </row>
    <row r="23">
      <c r="B23" s="4" t="inlineStr">
        <is>
          <t>Weekly net ops cash, LOW case</t>
        </is>
      </c>
      <c r="C23" s="22" t="n">
        <v>8000</v>
      </c>
      <c r="D23" s="6" t="inlineStr">
        <is>
          <t>Stress: collection slip + softer demand.</t>
        </is>
      </c>
    </row>
    <row r="24">
      <c r="B24" s="4" t="inlineStr">
        <is>
          <t>Weekly net ops cash, HIGH case</t>
        </is>
      </c>
      <c r="C24" s="22" t="n">
        <v>18000</v>
      </c>
      <c r="D24" s="6" t="inlineStr">
        <is>
          <t>Upside: growth + pricing normalization.</t>
        </is>
      </c>
    </row>
    <row r="26">
      <c r="B26" s="3" t="inlineStr">
        <is>
          <t>Repositioning capex by plan (deploy timing = Week 1 for all)</t>
        </is>
      </c>
      <c r="C26" s="20" t="n"/>
      <c r="D26" s="21" t="n"/>
    </row>
    <row r="27">
      <c r="B27" s="4" t="inlineStr">
        <is>
          <t>Plan A: own cash deployed</t>
        </is>
      </c>
      <c r="C27" s="22" t="n">
        <v>150000</v>
      </c>
      <c r="D27" s="6" t="inlineStr">
        <is>
          <t>Spend the $150k earmarked cash at Week 1; no new debt.</t>
        </is>
      </c>
    </row>
    <row r="28">
      <c r="B28" s="4" t="inlineStr">
        <is>
          <t>Plan B: own cash deployed</t>
        </is>
      </c>
      <c r="C28" s="22" t="n">
        <v>150000</v>
      </c>
      <c r="D28" s="6" t="inlineStr">
        <is>
          <t>Same. Borrow $100k for the ADDITIONAL spend.</t>
        </is>
      </c>
    </row>
    <row r="29">
      <c r="B29" s="4" t="inlineStr">
        <is>
          <t>Plan C: own cash deployed</t>
        </is>
      </c>
      <c r="C29" s="22" t="n">
        <v>150000</v>
      </c>
      <c r="D29" s="6" t="inlineStr">
        <is>
          <t>Same. Borrow $200k for the ADDITIONAL spend.</t>
        </is>
      </c>
    </row>
    <row r="30">
      <c r="B30" s="4" t="inlineStr">
        <is>
          <t>Plan A: loan drawn</t>
        </is>
      </c>
      <c r="C30" s="22" t="n">
        <v>0</v>
      </c>
      <c r="D30" s="6" t="inlineStr">
        <is>
          <t>No debt.</t>
        </is>
      </c>
    </row>
    <row r="31">
      <c r="B31" s="4" t="inlineStr">
        <is>
          <t>Plan B: loan drawn</t>
        </is>
      </c>
      <c r="C31" s="22" t="n">
        <v>100000</v>
      </c>
      <c r="D31" s="6" t="inlineStr">
        <is>
          <t>$100k drawn Week 1; serviced weekly over 60 months.</t>
        </is>
      </c>
    </row>
    <row r="32">
      <c r="B32" s="4" t="inlineStr">
        <is>
          <t>Plan C: loan drawn</t>
        </is>
      </c>
      <c r="C32" s="22" t="n">
        <v>200000</v>
      </c>
      <c r="D32" s="6" t="inlineStr">
        <is>
          <t>$200k drawn Week 1; serviced weekly over 60 months.</t>
        </is>
      </c>
    </row>
    <row r="34">
      <c r="B34" s="3" t="inlineStr">
        <is>
          <t>Incremental weekly contribution from repositioning</t>
        </is>
      </c>
      <c r="C34" s="20" t="n"/>
      <c r="D34" s="21" t="n"/>
    </row>
    <row r="35">
      <c r="B35" s="4" t="inlineStr">
        <is>
          <t>Incremental weekly CM, SLOW ramp</t>
        </is>
      </c>
      <c r="C35" s="22" t="n">
        <v>1500</v>
      </c>
      <c r="D35" s="6" t="inlineStr">
        <is>
          <t>Q1=$1.5k, Q2=$3k, Q3=$4.5k, Q4=$6k per week. Conservative.</t>
        </is>
      </c>
    </row>
    <row r="36">
      <c r="B36" s="4" t="inlineStr">
        <is>
          <t>Incremental weekly CM, MED ramp</t>
        </is>
      </c>
      <c r="C36" s="22" t="n">
        <v>3000</v>
      </c>
      <c r="D36" s="6" t="inlineStr">
        <is>
          <t>Q1=$3k, Q2=$6k, Q3=$9k, Q4=$12k. Plausible base.</t>
        </is>
      </c>
    </row>
    <row r="37">
      <c r="B37" s="4" t="inlineStr">
        <is>
          <t>Incremental weekly CM, FAST ramp</t>
        </is>
      </c>
      <c r="C37" s="22" t="n">
        <v>5000</v>
      </c>
      <c r="D37" s="6" t="inlineStr">
        <is>
          <t>Q1=$5k, Q2=$10k, Q3=$15k, Q4=$20k. Aggressive.</t>
        </is>
      </c>
    </row>
    <row r="39">
      <c r="B39" s="6" t="inlineStr">
        <is>
          <t>Prepared by Simkins &amp; Elgazar LLC | Confidential. Yellow = input cell. The model recalculates end-to-end when any input changes (Ctrl-Alt-F9 in Excel).</t>
        </is>
      </c>
    </row>
    <row r="40"/>
  </sheetData>
  <mergeCells count="8">
    <mergeCell ref="B11:D11"/>
    <mergeCell ref="B1:D1"/>
    <mergeCell ref="B39:D40"/>
    <mergeCell ref="B4:D4"/>
    <mergeCell ref="B26:D26"/>
    <mergeCell ref="B21:D21"/>
    <mergeCell ref="B2:D2"/>
    <mergeCell ref="B34:D34"/>
  </mergeCells>
  <pageMargins left="0.7" right="0.7" top="0.75" bottom="0.75" header="0.3" footer="0.3"/>
</worksheet>
</file>

<file path=xl/worksheets/sheet2.xml><?xml version="1.0" encoding="utf-8"?>
<worksheet xmlns="http://schemas.openxmlformats.org/spreadsheetml/2006/main">
  <sheetPr>
    <tabColor rgb="FF70AD47"/>
    <outlinePr summaryBelow="1" summaryRight="1"/>
    <pageSetUpPr/>
  </sheetPr>
  <dimension ref="B1:E20"/>
  <sheetViews>
    <sheetView workbookViewId="0">
      <selection activeCell="A1" sqref="A1"/>
    </sheetView>
  </sheetViews>
  <sheetFormatPr baseColWidth="8" defaultRowHeight="15"/>
  <cols>
    <col width="2.7109375" customWidth="1" min="1" max="1"/>
    <col width="36.7109375" customWidth="1" min="2" max="2"/>
    <col width="22.7109375" customWidth="1" min="3" max="5"/>
  </cols>
  <sheetData>
    <row r="1">
      <c r="B1" s="1" t="inlineStr">
        <is>
          <t>Plan Comparison Card</t>
        </is>
      </c>
    </row>
    <row r="2">
      <c r="B2" s="2" t="inlineStr">
        <is>
          <t>Side-by-side of the three plans. All values are formulas referencing the Inputs sheet.</t>
        </is>
      </c>
    </row>
    <row r="4" ht="30" customHeight="1">
      <c r="B4" s="9" t="inlineStr">
        <is>
          <t>Item</t>
        </is>
      </c>
      <c r="C4" s="9" t="inlineStr">
        <is>
          <t>Plan A: cash only</t>
        </is>
      </c>
      <c r="D4" s="9" t="inlineStr">
        <is>
          <t>Plan B: cash + $100k loan</t>
        </is>
      </c>
      <c r="E4" s="9" t="inlineStr">
        <is>
          <t>Plan C: cash + $200k loan</t>
        </is>
      </c>
    </row>
    <row r="5">
      <c r="B5" s="10" t="inlineStr">
        <is>
          <t>Own cash deployed (Week 1)</t>
        </is>
      </c>
      <c r="C5" s="22">
        <f>CapexPlanA</f>
        <v/>
      </c>
      <c r="D5" s="22">
        <f>CapexPlanA</f>
        <v/>
      </c>
      <c r="E5" s="22">
        <f>CapexPlanA</f>
        <v/>
      </c>
    </row>
    <row r="6">
      <c r="B6" s="10" t="inlineStr">
        <is>
          <t>Loan drawn (Week 1)</t>
        </is>
      </c>
      <c r="C6" s="22">
        <f>LoanPlanA</f>
        <v/>
      </c>
      <c r="D6" s="22">
        <f>LoanPlanB</f>
        <v/>
      </c>
      <c r="E6" s="22">
        <f>LoanPlanC</f>
        <v/>
      </c>
    </row>
    <row r="7">
      <c r="B7" s="10" t="inlineStr">
        <is>
          <t>Total deployable funds (Week 1)</t>
        </is>
      </c>
      <c r="C7" s="24">
        <f>CapexPlanA+LoanPlanA</f>
        <v/>
      </c>
      <c r="D7" s="24">
        <f>CapexPlanA+LoanPlanB</f>
        <v/>
      </c>
      <c r="E7" s="24">
        <f>CapexPlanA+LoanPlanC</f>
        <v/>
      </c>
    </row>
    <row r="8">
      <c r="B8" s="10" t="inlineStr">
        <is>
          <t>Weekly P+I (60-mo, 7.62%)</t>
        </is>
      </c>
      <c r="C8" s="25">
        <f>0</f>
        <v/>
      </c>
      <c r="D8" s="25">
        <f>ROUND((-PMT(LoanAPR60/52,260,-LoanPlanB)),0)</f>
        <v/>
      </c>
      <c r="E8" s="25">
        <f>ROUND((-PMT(LoanAPR60/52,260,-LoanPlanC)),0)</f>
        <v/>
      </c>
    </row>
    <row r="9">
      <c r="B9" s="10" t="inlineStr">
        <is>
          <t>Total interest cost (loan life, $)</t>
        </is>
      </c>
      <c r="C9" s="25">
        <f>0</f>
        <v/>
      </c>
      <c r="D9" s="25">
        <f>ROUND((-PMT(LoanAPR60/52,260,-LoanPlanB)*260 - LoanPlanB),0)</f>
        <v/>
      </c>
      <c r="E9" s="25">
        <f>ROUND((-PMT(LoanAPR60/52,260,-LoanPlanC)*260 - LoanPlanC),0)</f>
        <v/>
      </c>
    </row>
    <row r="10">
      <c r="B10" s="10" t="inlineStr">
        <is>
          <t>Total repayable (loan life, $)</t>
        </is>
      </c>
      <c r="C10" s="26">
        <f>0</f>
        <v/>
      </c>
      <c r="D10" s="26">
        <f>ROUND((-PMT(LoanAPR60/52,260,-LoanPlanB)*260),0)</f>
        <v/>
      </c>
      <c r="E10" s="26">
        <f>ROUND((-PMT(LoanAPR60/52,260,-LoanPlanC)*260),0)</f>
        <v/>
      </c>
    </row>
    <row r="11">
      <c r="B11" s="4" t="inlineStr">
        <is>
          <t>Weekly P+I @ LOW rate (5.97%)</t>
        </is>
      </c>
      <c r="C11" s="25">
        <f>0</f>
        <v/>
      </c>
      <c r="D11" s="25">
        <f>ROUND((-PMT(LoanRateLow/52,260,-LoanPlanB)),0)</f>
        <v/>
      </c>
      <c r="E11" s="25">
        <f>ROUND((-PMT(LoanRateLow/52,260,-LoanPlanC)),0)</f>
        <v/>
      </c>
    </row>
    <row r="12">
      <c r="B12" s="4" t="inlineStr">
        <is>
          <t>Weekly P+I @ HIGH rate (8.97%)</t>
        </is>
      </c>
      <c r="C12" s="25">
        <f>0</f>
        <v/>
      </c>
      <c r="D12" s="25">
        <f>ROUND((-PMT(LoanRateHigh/52,260,-LoanPlanB)),0)</f>
        <v/>
      </c>
      <c r="E12" s="25">
        <f>ROUND((-PMT(LoanRateHigh/52,260,-LoanPlanC)),0)</f>
        <v/>
      </c>
    </row>
    <row r="13">
      <c r="B13" s="4" t="inlineStr">
        <is>
          <t>Min cash deployable immediately (cash only)</t>
        </is>
      </c>
      <c r="C13" s="26">
        <f>CashOnHand</f>
        <v/>
      </c>
      <c r="D13" s="26">
        <f>0</f>
        <v/>
      </c>
      <c r="E13" s="26">
        <f>0</f>
        <v/>
      </c>
    </row>
    <row r="15">
      <c r="B15" s="6" t="inlineStr">
        <is>
          <t>Reading the drivers card: "Total deployable funds" is what hits Week 1. "Weekly P+I" is the ongoing cash drain while the loan is outstanding. "Total interest over loan life" is the absolute cost of debt -- about $20k-$41k for $100k-$200k borrowed at 7.62% over 60 months, before any tax shield. Plans B and C are mechanically similar in weeks 1-13; they diverge after capex deploys more capacity.</t>
        </is>
      </c>
    </row>
    <row r="16"/>
    <row r="17"/>
    <row r="18"/>
    <row r="19"/>
    <row r="20"/>
  </sheetData>
  <mergeCells count="3">
    <mergeCell ref="B2:E2"/>
    <mergeCell ref="B1:E1"/>
    <mergeCell ref="B15:E20"/>
  </mergeCells>
  <pageMargins left="0.7" right="0.7" top="0.75" bottom="0.75" header="0.3" footer="0.3"/>
</worksheet>
</file>

<file path=xl/worksheets/sheet3.xml><?xml version="1.0" encoding="utf-8"?>
<worksheet xmlns="http://schemas.openxmlformats.org/spreadsheetml/2006/main">
  <sheetPr>
    <tabColor rgb="FFC00000"/>
    <outlinePr summaryBelow="1" summaryRight="1"/>
    <pageSetUpPr/>
  </sheetPr>
  <dimension ref="B1:O92"/>
  <sheetViews>
    <sheetView workbookViewId="0">
      <pane xSplit="2" ySplit="4" topLeftCell="C5" activePane="bottomRight" state="frozen"/>
      <selection pane="topRight" activeCell="C1" sqref="C1"/>
      <selection pane="bottomLeft" activeCell="A5" sqref="A5"/>
      <selection pane="bottomRight" activeCell="A1" sqref="A1"/>
    </sheetView>
  </sheetViews>
  <sheetFormatPr baseColWidth="8" defaultRowHeight="15"/>
  <cols>
    <col width="2.7109375" customWidth="1" min="1" max="1"/>
    <col width="36.7109375" customWidth="1" min="2" max="2"/>
    <col width="13.7109375" customWidth="1" min="3" max="15"/>
  </cols>
  <sheetData>
    <row r="1">
      <c r="B1" s="1" t="inlineStr">
        <is>
          <t>13-Week Cash Forecast by Plan</t>
        </is>
      </c>
    </row>
    <row r="2">
      <c r="B2" s="2" t="inlineStr">
        <is>
          <t>Beginning -&gt; +Receipts -&gt; -Operating -&gt; -Capex -&gt; +Loan -&gt; -P&amp;I -&gt; =Ending. Receipts = shop net + incremental CM (zero weeks 1-3 for installation/commissioning). All cells are formulas over named inputs.</t>
        </is>
      </c>
    </row>
    <row r="4" ht="30" customHeight="1">
      <c r="B4" s="9" t="inlineStr">
        <is>
          <t>Line item ($)</t>
        </is>
      </c>
      <c r="C4" s="9" t="inlineStr">
        <is>
          <t>Wk 1
08/17</t>
        </is>
      </c>
      <c r="D4" s="9" t="inlineStr">
        <is>
          <t>Wk 2
08/24</t>
        </is>
      </c>
      <c r="E4" s="9" t="inlineStr">
        <is>
          <t>Wk 3
08/31</t>
        </is>
      </c>
      <c r="F4" s="9" t="inlineStr">
        <is>
          <t>Wk 4
09/07</t>
        </is>
      </c>
      <c r="G4" s="9" t="inlineStr">
        <is>
          <t>Wk 5
09/14</t>
        </is>
      </c>
      <c r="H4" s="9" t="inlineStr">
        <is>
          <t>Wk 6
09/21</t>
        </is>
      </c>
      <c r="I4" s="9" t="inlineStr">
        <is>
          <t>Wk 7
09/28</t>
        </is>
      </c>
      <c r="J4" s="9" t="inlineStr">
        <is>
          <t>Wk 8
10/05</t>
        </is>
      </c>
      <c r="K4" s="9" t="inlineStr">
        <is>
          <t>Wk 9
10/12</t>
        </is>
      </c>
      <c r="L4" s="9" t="inlineStr">
        <is>
          <t>Wk 10
10/19</t>
        </is>
      </c>
      <c r="M4" s="9" t="inlineStr">
        <is>
          <t>Wk 11
10/26</t>
        </is>
      </c>
      <c r="N4" s="9" t="inlineStr">
        <is>
          <t>Wk 12
11/02</t>
        </is>
      </c>
      <c r="O4" s="9" t="inlineStr">
        <is>
          <t>Wk 13
11/09</t>
        </is>
      </c>
    </row>
    <row r="5">
      <c r="B5" s="3" t="inlineStr">
        <is>
          <t>BASE / Plan A: $150k cash, no debt</t>
        </is>
      </c>
      <c r="C5" s="20" t="n"/>
      <c r="D5" s="20" t="n"/>
      <c r="E5" s="20" t="n"/>
      <c r="F5" s="20" t="n"/>
      <c r="G5" s="20" t="n"/>
      <c r="H5" s="20" t="n"/>
      <c r="I5" s="20" t="n"/>
      <c r="J5" s="20" t="n"/>
      <c r="K5" s="20" t="n"/>
      <c r="L5" s="20" t="n"/>
      <c r="M5" s="20" t="n"/>
      <c r="N5" s="20" t="n"/>
      <c r="O5" s="21" t="n"/>
    </row>
    <row r="6">
      <c r="B6" s="14" t="inlineStr">
        <is>
          <t>Net ops cash (A)</t>
        </is>
      </c>
      <c r="C6" s="25">
        <f>OpsBase</f>
        <v/>
      </c>
      <c r="D6" s="25">
        <f>OpsBase</f>
        <v/>
      </c>
      <c r="E6" s="25">
        <f>OpsBase</f>
        <v/>
      </c>
      <c r="F6" s="25">
        <f>OpsBase</f>
        <v/>
      </c>
      <c r="G6" s="25">
        <f>OpsBase</f>
        <v/>
      </c>
      <c r="H6" s="25">
        <f>OpsBase</f>
        <v/>
      </c>
      <c r="I6" s="25">
        <f>OpsBase</f>
        <v/>
      </c>
      <c r="J6" s="25">
        <f>OpsBase</f>
        <v/>
      </c>
      <c r="K6" s="25">
        <f>OpsBase</f>
        <v/>
      </c>
      <c r="L6" s="25">
        <f>OpsBase</f>
        <v/>
      </c>
      <c r="M6" s="25">
        <f>OpsBase</f>
        <v/>
      </c>
      <c r="N6" s="25">
        <f>OpsBase</f>
        <v/>
      </c>
      <c r="O6" s="25">
        <f>OpsBase</f>
        <v/>
      </c>
    </row>
    <row r="7">
      <c r="B7" s="14" t="inlineStr">
        <is>
          <t>Incremental CM (ramp, 0 in install window)</t>
        </is>
      </c>
      <c r="C7" s="25">
        <f>0</f>
        <v/>
      </c>
      <c r="D7" s="25">
        <f>0</f>
        <v/>
      </c>
      <c r="E7" s="25">
        <f>0</f>
        <v/>
      </c>
      <c r="F7" s="25">
        <f>IncMed</f>
        <v/>
      </c>
      <c r="G7" s="25">
        <f>IncMed</f>
        <v/>
      </c>
      <c r="H7" s="25">
        <f>IncMed</f>
        <v/>
      </c>
      <c r="I7" s="25">
        <f>IncMed</f>
        <v/>
      </c>
      <c r="J7" s="25">
        <f>IncMed</f>
        <v/>
      </c>
      <c r="K7" s="25">
        <f>IncMed</f>
        <v/>
      </c>
      <c r="L7" s="25">
        <f>IncMed</f>
        <v/>
      </c>
      <c r="M7" s="25">
        <f>IncMed</f>
        <v/>
      </c>
      <c r="N7" s="25">
        <f>IncMed</f>
        <v/>
      </c>
      <c r="O7" s="25">
        <f>IncMed</f>
        <v/>
      </c>
    </row>
    <row r="8">
      <c r="B8" s="10" t="inlineStr">
        <is>
          <t>Total receipts</t>
        </is>
      </c>
      <c r="C8" s="26">
        <f>C6+C7</f>
        <v/>
      </c>
      <c r="D8" s="26">
        <f>D6+D7</f>
        <v/>
      </c>
      <c r="E8" s="26">
        <f>E6+E7</f>
        <v/>
      </c>
      <c r="F8" s="26">
        <f>F6+F7</f>
        <v/>
      </c>
      <c r="G8" s="26">
        <f>G6+G7</f>
        <v/>
      </c>
      <c r="H8" s="26">
        <f>H6+H7</f>
        <v/>
      </c>
      <c r="I8" s="26">
        <f>I6+I7</f>
        <v/>
      </c>
      <c r="J8" s="26">
        <f>J6+J7</f>
        <v/>
      </c>
      <c r="K8" s="26">
        <f>K6+K7</f>
        <v/>
      </c>
      <c r="L8" s="26">
        <f>L6+L7</f>
        <v/>
      </c>
      <c r="M8" s="26">
        <f>M6+M7</f>
        <v/>
      </c>
      <c r="N8" s="26">
        <f>N6+N7</f>
        <v/>
      </c>
      <c r="O8" s="26">
        <f>O6+O7</f>
        <v/>
      </c>
    </row>
    <row r="9">
      <c r="B9" s="14" t="inlineStr">
        <is>
          <t>Owner weekly draw (personal)</t>
        </is>
      </c>
      <c r="C9" s="25">
        <f>-OwnerDraw</f>
        <v/>
      </c>
      <c r="D9" s="25">
        <f>-OwnerDraw</f>
        <v/>
      </c>
      <c r="E9" s="25">
        <f>-OwnerDraw</f>
        <v/>
      </c>
      <c r="F9" s="25">
        <f>-OwnerDraw</f>
        <v/>
      </c>
      <c r="G9" s="25">
        <f>-OwnerDraw</f>
        <v/>
      </c>
      <c r="H9" s="25">
        <f>-OwnerDraw</f>
        <v/>
      </c>
      <c r="I9" s="25">
        <f>-OwnerDraw</f>
        <v/>
      </c>
      <c r="J9" s="25">
        <f>-OwnerDraw</f>
        <v/>
      </c>
      <c r="K9" s="25">
        <f>-OwnerDraw</f>
        <v/>
      </c>
      <c r="L9" s="25">
        <f>-OwnerDraw</f>
        <v/>
      </c>
      <c r="M9" s="25">
        <f>-OwnerDraw</f>
        <v/>
      </c>
      <c r="N9" s="25">
        <f>-OwnerDraw</f>
        <v/>
      </c>
      <c r="O9" s="25">
        <f>-OwnerDraw</f>
        <v/>
      </c>
    </row>
    <row r="10">
      <c r="B10" s="14" t="inlineStr">
        <is>
          <t>Repositioning capex (A, Wk 1)</t>
        </is>
      </c>
      <c r="C10" s="25">
        <f>-(CapexPlanA)</f>
        <v/>
      </c>
      <c r="D10" s="25">
        <f>0</f>
        <v/>
      </c>
      <c r="E10" s="25">
        <f>0</f>
        <v/>
      </c>
      <c r="F10" s="25">
        <f>0</f>
        <v/>
      </c>
      <c r="G10" s="25">
        <f>0</f>
        <v/>
      </c>
      <c r="H10" s="25">
        <f>0</f>
        <v/>
      </c>
      <c r="I10" s="25">
        <f>0</f>
        <v/>
      </c>
      <c r="J10" s="25">
        <f>0</f>
        <v/>
      </c>
      <c r="K10" s="25">
        <f>0</f>
        <v/>
      </c>
      <c r="L10" s="25">
        <f>0</f>
        <v/>
      </c>
      <c r="M10" s="25">
        <f>0</f>
        <v/>
      </c>
      <c r="N10" s="25">
        <f>0</f>
        <v/>
      </c>
      <c r="O10" s="25">
        <f>0</f>
        <v/>
      </c>
    </row>
    <row r="11">
      <c r="B11" s="14" t="inlineStr">
        <is>
          <t>Loan draw (A, Wk 1)</t>
        </is>
      </c>
      <c r="C11" s="25">
        <f>LoanPlanA</f>
        <v/>
      </c>
      <c r="D11" s="25">
        <f>0</f>
        <v/>
      </c>
      <c r="E11" s="25">
        <f>0</f>
        <v/>
      </c>
      <c r="F11" s="25">
        <f>0</f>
        <v/>
      </c>
      <c r="G11" s="25">
        <f>0</f>
        <v/>
      </c>
      <c r="H11" s="25">
        <f>0</f>
        <v/>
      </c>
      <c r="I11" s="25">
        <f>0</f>
        <v/>
      </c>
      <c r="J11" s="25">
        <f>0</f>
        <v/>
      </c>
      <c r="K11" s="25">
        <f>0</f>
        <v/>
      </c>
      <c r="L11" s="25">
        <f>0</f>
        <v/>
      </c>
      <c r="M11" s="25">
        <f>0</f>
        <v/>
      </c>
      <c r="N11" s="25">
        <f>0</f>
        <v/>
      </c>
      <c r="O11" s="25">
        <f>0</f>
        <v/>
      </c>
    </row>
    <row r="12">
      <c r="B12" s="14" t="inlineStr">
        <is>
          <t>Weekly debt service (P+I)</t>
        </is>
      </c>
      <c r="C12" s="25">
        <f>0</f>
        <v/>
      </c>
      <c r="D12" s="25">
        <f>0</f>
        <v/>
      </c>
      <c r="E12" s="25">
        <f>0</f>
        <v/>
      </c>
      <c r="F12" s="25">
        <f>0</f>
        <v/>
      </c>
      <c r="G12" s="25">
        <f>0</f>
        <v/>
      </c>
      <c r="H12" s="25">
        <f>0</f>
        <v/>
      </c>
      <c r="I12" s="25">
        <f>0</f>
        <v/>
      </c>
      <c r="J12" s="25">
        <f>0</f>
        <v/>
      </c>
      <c r="K12" s="25">
        <f>0</f>
        <v/>
      </c>
      <c r="L12" s="25">
        <f>0</f>
        <v/>
      </c>
      <c r="M12" s="25">
        <f>0</f>
        <v/>
      </c>
      <c r="N12" s="25">
        <f>0</f>
        <v/>
      </c>
      <c r="O12" s="25">
        <f>0</f>
        <v/>
      </c>
    </row>
    <row r="13">
      <c r="B13" s="10" t="inlineStr">
        <is>
          <t>Net cash flow this week</t>
        </is>
      </c>
      <c r="C13" s="24">
        <f>C8+C9+C10+C11+C12</f>
        <v/>
      </c>
      <c r="D13" s="24">
        <f>D8+D9+D10+D11+D12</f>
        <v/>
      </c>
      <c r="E13" s="24">
        <f>E8+E9+E10+E11+E12</f>
        <v/>
      </c>
      <c r="F13" s="24">
        <f>F8+F9+F10+F11+F12</f>
        <v/>
      </c>
      <c r="G13" s="24">
        <f>G8+G9+G10+G11+G12</f>
        <v/>
      </c>
      <c r="H13" s="24">
        <f>H8+H9+H10+H11+H12</f>
        <v/>
      </c>
      <c r="I13" s="24">
        <f>I8+I9+I10+I11+I12</f>
        <v/>
      </c>
      <c r="J13" s="24">
        <f>J8+J9+J10+J11+J12</f>
        <v/>
      </c>
      <c r="K13" s="24">
        <f>K8+K9+K10+K11+K12</f>
        <v/>
      </c>
      <c r="L13" s="24">
        <f>L8+L9+L10+L11+L12</f>
        <v/>
      </c>
      <c r="M13" s="24">
        <f>M8+M9+M10+M11+M12</f>
        <v/>
      </c>
      <c r="N13" s="24">
        <f>N8+N9+N10+N11+N12</f>
        <v/>
      </c>
      <c r="O13" s="24">
        <f>O8+O9+O10+O11+O12</f>
        <v/>
      </c>
    </row>
    <row r="14">
      <c r="B14" s="10" t="inlineStr">
        <is>
          <t>Beginning cash</t>
        </is>
      </c>
      <c r="C14" s="26">
        <f>CashOnHand</f>
        <v/>
      </c>
      <c r="D14" s="26">
        <f>C15</f>
        <v/>
      </c>
      <c r="E14" s="26">
        <f>D15</f>
        <v/>
      </c>
      <c r="F14" s="26">
        <f>E15</f>
        <v/>
      </c>
      <c r="G14" s="26">
        <f>F15</f>
        <v/>
      </c>
      <c r="H14" s="26">
        <f>G15</f>
        <v/>
      </c>
      <c r="I14" s="26">
        <f>H15</f>
        <v/>
      </c>
      <c r="J14" s="26">
        <f>I15</f>
        <v/>
      </c>
      <c r="K14" s="26">
        <f>J15</f>
        <v/>
      </c>
      <c r="L14" s="26">
        <f>K15</f>
        <v/>
      </c>
      <c r="M14" s="26">
        <f>L15</f>
        <v/>
      </c>
      <c r="N14" s="26">
        <f>M15</f>
        <v/>
      </c>
      <c r="O14" s="26">
        <f>N15</f>
        <v/>
      </c>
    </row>
    <row r="15">
      <c r="B15" s="10" t="inlineStr">
        <is>
          <t>Ending cash</t>
        </is>
      </c>
      <c r="C15" s="24">
        <f>C14+C13</f>
        <v/>
      </c>
      <c r="D15" s="24">
        <f>D14+D13</f>
        <v/>
      </c>
      <c r="E15" s="24">
        <f>E14+E13</f>
        <v/>
      </c>
      <c r="F15" s="24">
        <f>F14+F13</f>
        <v/>
      </c>
      <c r="G15" s="24">
        <f>G14+G13</f>
        <v/>
      </c>
      <c r="H15" s="24">
        <f>H14+H13</f>
        <v/>
      </c>
      <c r="I15" s="24">
        <f>I14+I13</f>
        <v/>
      </c>
      <c r="J15" s="24">
        <f>J14+J13</f>
        <v/>
      </c>
      <c r="K15" s="24">
        <f>K14+K13</f>
        <v/>
      </c>
      <c r="L15" s="24">
        <f>L14+L13</f>
        <v/>
      </c>
      <c r="M15" s="24">
        <f>M14+M13</f>
        <v/>
      </c>
      <c r="N15" s="24">
        <f>N14+N13</f>
        <v/>
      </c>
      <c r="O15" s="24">
        <f>O14+O13</f>
        <v/>
      </c>
    </row>
    <row r="16">
      <c r="B16" s="10" t="inlineStr">
        <is>
          <t>Minimum cash over horizon</t>
        </is>
      </c>
      <c r="C16" s="26">
        <f>MIN(C15:O15)</f>
        <v/>
      </c>
    </row>
    <row r="17">
      <c r="B17" s="10" t="inlineStr">
        <is>
          <t>First week ending cash goes negative</t>
        </is>
      </c>
      <c r="C17" s="10">
        <f>IF(MIN(C15:O15)&gt;=0,"No negative week","Wk "&amp;(MATCH(TRUE,INDEX(C15:O15&lt;0,0),0)))</f>
        <v/>
      </c>
    </row>
    <row r="19">
      <c r="B19" s="3" t="inlineStr">
        <is>
          <t>BASE / Plan B: $150k cash + $100k loan @ 7.62% / 60-mo</t>
        </is>
      </c>
      <c r="C19" s="20" t="n"/>
      <c r="D19" s="20" t="n"/>
      <c r="E19" s="20" t="n"/>
      <c r="F19" s="20" t="n"/>
      <c r="G19" s="20" t="n"/>
      <c r="H19" s="20" t="n"/>
      <c r="I19" s="20" t="n"/>
      <c r="J19" s="20" t="n"/>
      <c r="K19" s="20" t="n"/>
      <c r="L19" s="20" t="n"/>
      <c r="M19" s="20" t="n"/>
      <c r="N19" s="20" t="n"/>
      <c r="O19" s="21" t="n"/>
    </row>
    <row r="20">
      <c r="B20" s="14" t="inlineStr">
        <is>
          <t>Net ops cash (B)</t>
        </is>
      </c>
      <c r="C20" s="25">
        <f>OpsBase</f>
        <v/>
      </c>
      <c r="D20" s="25">
        <f>OpsBase</f>
        <v/>
      </c>
      <c r="E20" s="25">
        <f>OpsBase</f>
        <v/>
      </c>
      <c r="F20" s="25">
        <f>OpsBase</f>
        <v/>
      </c>
      <c r="G20" s="25">
        <f>OpsBase</f>
        <v/>
      </c>
      <c r="H20" s="25">
        <f>OpsBase</f>
        <v/>
      </c>
      <c r="I20" s="25">
        <f>OpsBase</f>
        <v/>
      </c>
      <c r="J20" s="25">
        <f>OpsBase</f>
        <v/>
      </c>
      <c r="K20" s="25">
        <f>OpsBase</f>
        <v/>
      </c>
      <c r="L20" s="25">
        <f>OpsBase</f>
        <v/>
      </c>
      <c r="M20" s="25">
        <f>OpsBase</f>
        <v/>
      </c>
      <c r="N20" s="25">
        <f>OpsBase</f>
        <v/>
      </c>
      <c r="O20" s="25">
        <f>OpsBase</f>
        <v/>
      </c>
    </row>
    <row r="21">
      <c r="B21" s="14" t="inlineStr">
        <is>
          <t>Incremental CM (ramp, 0 in install window)</t>
        </is>
      </c>
      <c r="C21" s="25">
        <f>0</f>
        <v/>
      </c>
      <c r="D21" s="25">
        <f>0</f>
        <v/>
      </c>
      <c r="E21" s="25">
        <f>0</f>
        <v/>
      </c>
      <c r="F21" s="25">
        <f>IncMed</f>
        <v/>
      </c>
      <c r="G21" s="25">
        <f>IncMed</f>
        <v/>
      </c>
      <c r="H21" s="25">
        <f>IncMed</f>
        <v/>
      </c>
      <c r="I21" s="25">
        <f>IncMed</f>
        <v/>
      </c>
      <c r="J21" s="25">
        <f>IncMed</f>
        <v/>
      </c>
      <c r="K21" s="25">
        <f>IncMed</f>
        <v/>
      </c>
      <c r="L21" s="25">
        <f>IncMed</f>
        <v/>
      </c>
      <c r="M21" s="25">
        <f>IncMed</f>
        <v/>
      </c>
      <c r="N21" s="25">
        <f>IncMed</f>
        <v/>
      </c>
      <c r="O21" s="25">
        <f>IncMed</f>
        <v/>
      </c>
    </row>
    <row r="22">
      <c r="B22" s="10" t="inlineStr">
        <is>
          <t>Total receipts</t>
        </is>
      </c>
      <c r="C22" s="26">
        <f>C20+C21</f>
        <v/>
      </c>
      <c r="D22" s="26">
        <f>D20+D21</f>
        <v/>
      </c>
      <c r="E22" s="26">
        <f>E20+E21</f>
        <v/>
      </c>
      <c r="F22" s="26">
        <f>F20+F21</f>
        <v/>
      </c>
      <c r="G22" s="26">
        <f>G20+G21</f>
        <v/>
      </c>
      <c r="H22" s="26">
        <f>H20+H21</f>
        <v/>
      </c>
      <c r="I22" s="26">
        <f>I20+I21</f>
        <v/>
      </c>
      <c r="J22" s="26">
        <f>J20+J21</f>
        <v/>
      </c>
      <c r="K22" s="26">
        <f>K20+K21</f>
        <v/>
      </c>
      <c r="L22" s="26">
        <f>L20+L21</f>
        <v/>
      </c>
      <c r="M22" s="26">
        <f>M20+M21</f>
        <v/>
      </c>
      <c r="N22" s="26">
        <f>N20+N21</f>
        <v/>
      </c>
      <c r="O22" s="26">
        <f>O20+O21</f>
        <v/>
      </c>
    </row>
    <row r="23">
      <c r="B23" s="14" t="inlineStr">
        <is>
          <t>Owner weekly draw (personal)</t>
        </is>
      </c>
      <c r="C23" s="25">
        <f>-OwnerDraw</f>
        <v/>
      </c>
      <c r="D23" s="25">
        <f>-OwnerDraw</f>
        <v/>
      </c>
      <c r="E23" s="25">
        <f>-OwnerDraw</f>
        <v/>
      </c>
      <c r="F23" s="25">
        <f>-OwnerDraw</f>
        <v/>
      </c>
      <c r="G23" s="25">
        <f>-OwnerDraw</f>
        <v/>
      </c>
      <c r="H23" s="25">
        <f>-OwnerDraw</f>
        <v/>
      </c>
      <c r="I23" s="25">
        <f>-OwnerDraw</f>
        <v/>
      </c>
      <c r="J23" s="25">
        <f>-OwnerDraw</f>
        <v/>
      </c>
      <c r="K23" s="25">
        <f>-OwnerDraw</f>
        <v/>
      </c>
      <c r="L23" s="25">
        <f>-OwnerDraw</f>
        <v/>
      </c>
      <c r="M23" s="25">
        <f>-OwnerDraw</f>
        <v/>
      </c>
      <c r="N23" s="25">
        <f>-OwnerDraw</f>
        <v/>
      </c>
      <c r="O23" s="25">
        <f>-OwnerDraw</f>
        <v/>
      </c>
    </row>
    <row r="24">
      <c r="B24" s="14" t="inlineStr">
        <is>
          <t>Repositioning capex (B, Wk 1)</t>
        </is>
      </c>
      <c r="C24" s="25">
        <f>-(CapexPlanA)</f>
        <v/>
      </c>
      <c r="D24" s="25">
        <f>0</f>
        <v/>
      </c>
      <c r="E24" s="25">
        <f>0</f>
        <v/>
      </c>
      <c r="F24" s="25">
        <f>0</f>
        <v/>
      </c>
      <c r="G24" s="25">
        <f>0</f>
        <v/>
      </c>
      <c r="H24" s="25">
        <f>0</f>
        <v/>
      </c>
      <c r="I24" s="25">
        <f>0</f>
        <v/>
      </c>
      <c r="J24" s="25">
        <f>0</f>
        <v/>
      </c>
      <c r="K24" s="25">
        <f>0</f>
        <v/>
      </c>
      <c r="L24" s="25">
        <f>0</f>
        <v/>
      </c>
      <c r="M24" s="25">
        <f>0</f>
        <v/>
      </c>
      <c r="N24" s="25">
        <f>0</f>
        <v/>
      </c>
      <c r="O24" s="25">
        <f>0</f>
        <v/>
      </c>
    </row>
    <row r="25">
      <c r="B25" s="14" t="inlineStr">
        <is>
          <t>Loan draw (B, Wk 1)</t>
        </is>
      </c>
      <c r="C25" s="25">
        <f>LoanPlanB</f>
        <v/>
      </c>
      <c r="D25" s="25">
        <f>0</f>
        <v/>
      </c>
      <c r="E25" s="25">
        <f>0</f>
        <v/>
      </c>
      <c r="F25" s="25">
        <f>0</f>
        <v/>
      </c>
      <c r="G25" s="25">
        <f>0</f>
        <v/>
      </c>
      <c r="H25" s="25">
        <f>0</f>
        <v/>
      </c>
      <c r="I25" s="25">
        <f>0</f>
        <v/>
      </c>
      <c r="J25" s="25">
        <f>0</f>
        <v/>
      </c>
      <c r="K25" s="25">
        <f>0</f>
        <v/>
      </c>
      <c r="L25" s="25">
        <f>0</f>
        <v/>
      </c>
      <c r="M25" s="25">
        <f>0</f>
        <v/>
      </c>
      <c r="N25" s="25">
        <f>0</f>
        <v/>
      </c>
      <c r="O25" s="25">
        <f>0</f>
        <v/>
      </c>
    </row>
    <row r="26">
      <c r="B26" s="14" t="inlineStr">
        <is>
          <t>Weekly debt service (P+I)</t>
        </is>
      </c>
      <c r="C26" s="25">
        <f>(-PMT(LoanAPR60/52,260,-LoanPlanB))</f>
        <v/>
      </c>
      <c r="D26" s="25">
        <f>(-PMT(LoanAPR60/52,260,-LoanPlanB))</f>
        <v/>
      </c>
      <c r="E26" s="25">
        <f>(-PMT(LoanAPR60/52,260,-LoanPlanB))</f>
        <v/>
      </c>
      <c r="F26" s="25">
        <f>(-PMT(LoanAPR60/52,260,-LoanPlanB))</f>
        <v/>
      </c>
      <c r="G26" s="25">
        <f>(-PMT(LoanAPR60/52,260,-LoanPlanB))</f>
        <v/>
      </c>
      <c r="H26" s="25">
        <f>(-PMT(LoanAPR60/52,260,-LoanPlanB))</f>
        <v/>
      </c>
      <c r="I26" s="25">
        <f>(-PMT(LoanAPR60/52,260,-LoanPlanB))</f>
        <v/>
      </c>
      <c r="J26" s="25">
        <f>(-PMT(LoanAPR60/52,260,-LoanPlanB))</f>
        <v/>
      </c>
      <c r="K26" s="25">
        <f>(-PMT(LoanAPR60/52,260,-LoanPlanB))</f>
        <v/>
      </c>
      <c r="L26" s="25">
        <f>(-PMT(LoanAPR60/52,260,-LoanPlanB))</f>
        <v/>
      </c>
      <c r="M26" s="25">
        <f>(-PMT(LoanAPR60/52,260,-LoanPlanB))</f>
        <v/>
      </c>
      <c r="N26" s="25">
        <f>(-PMT(LoanAPR60/52,260,-LoanPlanB))</f>
        <v/>
      </c>
      <c r="O26" s="25">
        <f>(-PMT(LoanAPR60/52,260,-LoanPlanB))</f>
        <v/>
      </c>
    </row>
    <row r="27">
      <c r="B27" s="10" t="inlineStr">
        <is>
          <t>Net cash flow this week</t>
        </is>
      </c>
      <c r="C27" s="24">
        <f>C22+C23+C24+C25+C26</f>
        <v/>
      </c>
      <c r="D27" s="24">
        <f>D22+D23+D24+D25+D26</f>
        <v/>
      </c>
      <c r="E27" s="24">
        <f>E22+E23+E24+E25+E26</f>
        <v/>
      </c>
      <c r="F27" s="24">
        <f>F22+F23+F24+F25+F26</f>
        <v/>
      </c>
      <c r="G27" s="24">
        <f>G22+G23+G24+G25+G26</f>
        <v/>
      </c>
      <c r="H27" s="24">
        <f>H22+H23+H24+H25+H26</f>
        <v/>
      </c>
      <c r="I27" s="24">
        <f>I22+I23+I24+I25+I26</f>
        <v/>
      </c>
      <c r="J27" s="24">
        <f>J22+J23+J24+J25+J26</f>
        <v/>
      </c>
      <c r="K27" s="24">
        <f>K22+K23+K24+K25+K26</f>
        <v/>
      </c>
      <c r="L27" s="24">
        <f>L22+L23+L24+L25+L26</f>
        <v/>
      </c>
      <c r="M27" s="24">
        <f>M22+M23+M24+M25+M26</f>
        <v/>
      </c>
      <c r="N27" s="24">
        <f>N22+N23+N24+N25+N26</f>
        <v/>
      </c>
      <c r="O27" s="24">
        <f>O22+O23+O24+O25+O26</f>
        <v/>
      </c>
    </row>
    <row r="28">
      <c r="B28" s="10" t="inlineStr">
        <is>
          <t>Beginning cash</t>
        </is>
      </c>
      <c r="C28" s="26">
        <f>CashOnHand</f>
        <v/>
      </c>
      <c r="D28" s="26">
        <f>C15</f>
        <v/>
      </c>
      <c r="E28" s="26">
        <f>D15</f>
        <v/>
      </c>
      <c r="F28" s="26">
        <f>E15</f>
        <v/>
      </c>
      <c r="G28" s="26">
        <f>F15</f>
        <v/>
      </c>
      <c r="H28" s="26">
        <f>G15</f>
        <v/>
      </c>
      <c r="I28" s="26">
        <f>H15</f>
        <v/>
      </c>
      <c r="J28" s="26">
        <f>I15</f>
        <v/>
      </c>
      <c r="K28" s="26">
        <f>J15</f>
        <v/>
      </c>
      <c r="L28" s="26">
        <f>K15</f>
        <v/>
      </c>
      <c r="M28" s="26">
        <f>L15</f>
        <v/>
      </c>
      <c r="N28" s="26">
        <f>M15</f>
        <v/>
      </c>
      <c r="O28" s="26">
        <f>N15</f>
        <v/>
      </c>
    </row>
    <row r="29">
      <c r="B29" s="10" t="inlineStr">
        <is>
          <t>Ending cash</t>
        </is>
      </c>
      <c r="C29" s="24">
        <f>C28+C27</f>
        <v/>
      </c>
      <c r="D29" s="24">
        <f>D28+D27</f>
        <v/>
      </c>
      <c r="E29" s="24">
        <f>E28+E27</f>
        <v/>
      </c>
      <c r="F29" s="24">
        <f>F28+F27</f>
        <v/>
      </c>
      <c r="G29" s="24">
        <f>G28+G27</f>
        <v/>
      </c>
      <c r="H29" s="24">
        <f>H28+H27</f>
        <v/>
      </c>
      <c r="I29" s="24">
        <f>I28+I27</f>
        <v/>
      </c>
      <c r="J29" s="24">
        <f>J28+J27</f>
        <v/>
      </c>
      <c r="K29" s="24">
        <f>K28+K27</f>
        <v/>
      </c>
      <c r="L29" s="24">
        <f>L28+L27</f>
        <v/>
      </c>
      <c r="M29" s="24">
        <f>M28+M27</f>
        <v/>
      </c>
      <c r="N29" s="24">
        <f>N28+N27</f>
        <v/>
      </c>
      <c r="O29" s="24">
        <f>O28+O27</f>
        <v/>
      </c>
    </row>
    <row r="30">
      <c r="B30" s="10" t="inlineStr">
        <is>
          <t>Minimum cash over horizon</t>
        </is>
      </c>
      <c r="C30" s="26">
        <f>MIN(C29:O29)</f>
        <v/>
      </c>
    </row>
    <row r="31">
      <c r="B31" s="10" t="inlineStr">
        <is>
          <t>First week ending cash goes negative</t>
        </is>
      </c>
      <c r="C31" s="10">
        <f>IF(MIN(C29:O29)&gt;=0,"No negative week","Wk "&amp;(MATCH(TRUE,INDEX(C29:O29&lt;0,0),0)))</f>
        <v/>
      </c>
    </row>
    <row r="33">
      <c r="B33" s="3" t="inlineStr">
        <is>
          <t>BASE / Plan C: $150k cash + $200k loan @ 7.62% / 60-mo</t>
        </is>
      </c>
      <c r="C33" s="20" t="n"/>
      <c r="D33" s="20" t="n"/>
      <c r="E33" s="20" t="n"/>
      <c r="F33" s="20" t="n"/>
      <c r="G33" s="20" t="n"/>
      <c r="H33" s="20" t="n"/>
      <c r="I33" s="20" t="n"/>
      <c r="J33" s="20" t="n"/>
      <c r="K33" s="20" t="n"/>
      <c r="L33" s="20" t="n"/>
      <c r="M33" s="20" t="n"/>
      <c r="N33" s="20" t="n"/>
      <c r="O33" s="21" t="n"/>
    </row>
    <row r="34">
      <c r="B34" s="14" t="inlineStr">
        <is>
          <t>Net ops cash (C)</t>
        </is>
      </c>
      <c r="C34" s="25">
        <f>OpsBase</f>
        <v/>
      </c>
      <c r="D34" s="25">
        <f>OpsBase</f>
        <v/>
      </c>
      <c r="E34" s="25">
        <f>OpsBase</f>
        <v/>
      </c>
      <c r="F34" s="25">
        <f>OpsBase</f>
        <v/>
      </c>
      <c r="G34" s="25">
        <f>OpsBase</f>
        <v/>
      </c>
      <c r="H34" s="25">
        <f>OpsBase</f>
        <v/>
      </c>
      <c r="I34" s="25">
        <f>OpsBase</f>
        <v/>
      </c>
      <c r="J34" s="25">
        <f>OpsBase</f>
        <v/>
      </c>
      <c r="K34" s="25">
        <f>OpsBase</f>
        <v/>
      </c>
      <c r="L34" s="25">
        <f>OpsBase</f>
        <v/>
      </c>
      <c r="M34" s="25">
        <f>OpsBase</f>
        <v/>
      </c>
      <c r="N34" s="25">
        <f>OpsBase</f>
        <v/>
      </c>
      <c r="O34" s="25">
        <f>OpsBase</f>
        <v/>
      </c>
    </row>
    <row r="35">
      <c r="B35" s="14" t="inlineStr">
        <is>
          <t>Incremental CM (ramp, 0 in install window)</t>
        </is>
      </c>
      <c r="C35" s="25">
        <f>0</f>
        <v/>
      </c>
      <c r="D35" s="25">
        <f>0</f>
        <v/>
      </c>
      <c r="E35" s="25">
        <f>0</f>
        <v/>
      </c>
      <c r="F35" s="25">
        <f>IncMed</f>
        <v/>
      </c>
      <c r="G35" s="25">
        <f>IncMed</f>
        <v/>
      </c>
      <c r="H35" s="25">
        <f>IncMed</f>
        <v/>
      </c>
      <c r="I35" s="25">
        <f>IncMed</f>
        <v/>
      </c>
      <c r="J35" s="25">
        <f>IncMed</f>
        <v/>
      </c>
      <c r="K35" s="25">
        <f>IncMed</f>
        <v/>
      </c>
      <c r="L35" s="25">
        <f>IncMed</f>
        <v/>
      </c>
      <c r="M35" s="25">
        <f>IncMed</f>
        <v/>
      </c>
      <c r="N35" s="25">
        <f>IncMed</f>
        <v/>
      </c>
      <c r="O35" s="25">
        <f>IncMed</f>
        <v/>
      </c>
    </row>
    <row r="36">
      <c r="B36" s="10" t="inlineStr">
        <is>
          <t>Total receipts</t>
        </is>
      </c>
      <c r="C36" s="26">
        <f>C34+C35</f>
        <v/>
      </c>
      <c r="D36" s="26">
        <f>D34+D35</f>
        <v/>
      </c>
      <c r="E36" s="26">
        <f>E34+E35</f>
        <v/>
      </c>
      <c r="F36" s="26">
        <f>F34+F35</f>
        <v/>
      </c>
      <c r="G36" s="26">
        <f>G34+G35</f>
        <v/>
      </c>
      <c r="H36" s="26">
        <f>H34+H35</f>
        <v/>
      </c>
      <c r="I36" s="26">
        <f>I34+I35</f>
        <v/>
      </c>
      <c r="J36" s="26">
        <f>J34+J35</f>
        <v/>
      </c>
      <c r="K36" s="26">
        <f>K34+K35</f>
        <v/>
      </c>
      <c r="L36" s="26">
        <f>L34+L35</f>
        <v/>
      </c>
      <c r="M36" s="26">
        <f>M34+M35</f>
        <v/>
      </c>
      <c r="N36" s="26">
        <f>N34+N35</f>
        <v/>
      </c>
      <c r="O36" s="26">
        <f>O34+O35</f>
        <v/>
      </c>
    </row>
    <row r="37">
      <c r="B37" s="14" t="inlineStr">
        <is>
          <t>Owner weekly draw (personal)</t>
        </is>
      </c>
      <c r="C37" s="25">
        <f>-OwnerDraw</f>
        <v/>
      </c>
      <c r="D37" s="25">
        <f>-OwnerDraw</f>
        <v/>
      </c>
      <c r="E37" s="25">
        <f>-OwnerDraw</f>
        <v/>
      </c>
      <c r="F37" s="25">
        <f>-OwnerDraw</f>
        <v/>
      </c>
      <c r="G37" s="25">
        <f>-OwnerDraw</f>
        <v/>
      </c>
      <c r="H37" s="25">
        <f>-OwnerDraw</f>
        <v/>
      </c>
      <c r="I37" s="25">
        <f>-OwnerDraw</f>
        <v/>
      </c>
      <c r="J37" s="25">
        <f>-OwnerDraw</f>
        <v/>
      </c>
      <c r="K37" s="25">
        <f>-OwnerDraw</f>
        <v/>
      </c>
      <c r="L37" s="25">
        <f>-OwnerDraw</f>
        <v/>
      </c>
      <c r="M37" s="25">
        <f>-OwnerDraw</f>
        <v/>
      </c>
      <c r="N37" s="25">
        <f>-OwnerDraw</f>
        <v/>
      </c>
      <c r="O37" s="25">
        <f>-OwnerDraw</f>
        <v/>
      </c>
    </row>
    <row r="38">
      <c r="B38" s="14" t="inlineStr">
        <is>
          <t>Repositioning capex (C, Wk 1)</t>
        </is>
      </c>
      <c r="C38" s="25">
        <f>-(CapexPlanA)</f>
        <v/>
      </c>
      <c r="D38" s="25">
        <f>0</f>
        <v/>
      </c>
      <c r="E38" s="25">
        <f>0</f>
        <v/>
      </c>
      <c r="F38" s="25">
        <f>0</f>
        <v/>
      </c>
      <c r="G38" s="25">
        <f>0</f>
        <v/>
      </c>
      <c r="H38" s="25">
        <f>0</f>
        <v/>
      </c>
      <c r="I38" s="25">
        <f>0</f>
        <v/>
      </c>
      <c r="J38" s="25">
        <f>0</f>
        <v/>
      </c>
      <c r="K38" s="25">
        <f>0</f>
        <v/>
      </c>
      <c r="L38" s="25">
        <f>0</f>
        <v/>
      </c>
      <c r="M38" s="25">
        <f>0</f>
        <v/>
      </c>
      <c r="N38" s="25">
        <f>0</f>
        <v/>
      </c>
      <c r="O38" s="25">
        <f>0</f>
        <v/>
      </c>
    </row>
    <row r="39">
      <c r="B39" s="14" t="inlineStr">
        <is>
          <t>Loan draw (C, Wk 1)</t>
        </is>
      </c>
      <c r="C39" s="25">
        <f>LoanPlanC</f>
        <v/>
      </c>
      <c r="D39" s="25">
        <f>0</f>
        <v/>
      </c>
      <c r="E39" s="25">
        <f>0</f>
        <v/>
      </c>
      <c r="F39" s="25">
        <f>0</f>
        <v/>
      </c>
      <c r="G39" s="25">
        <f>0</f>
        <v/>
      </c>
      <c r="H39" s="25">
        <f>0</f>
        <v/>
      </c>
      <c r="I39" s="25">
        <f>0</f>
        <v/>
      </c>
      <c r="J39" s="25">
        <f>0</f>
        <v/>
      </c>
      <c r="K39" s="25">
        <f>0</f>
        <v/>
      </c>
      <c r="L39" s="25">
        <f>0</f>
        <v/>
      </c>
      <c r="M39" s="25">
        <f>0</f>
        <v/>
      </c>
      <c r="N39" s="25">
        <f>0</f>
        <v/>
      </c>
      <c r="O39" s="25">
        <f>0</f>
        <v/>
      </c>
    </row>
    <row r="40">
      <c r="B40" s="14" t="inlineStr">
        <is>
          <t>Weekly debt service (P+I)</t>
        </is>
      </c>
      <c r="C40" s="25">
        <f>(-PMT(LoanAPR60/52,260,-LoanPlanC))</f>
        <v/>
      </c>
      <c r="D40" s="25">
        <f>(-PMT(LoanAPR60/52,260,-LoanPlanC))</f>
        <v/>
      </c>
      <c r="E40" s="25">
        <f>(-PMT(LoanAPR60/52,260,-LoanPlanC))</f>
        <v/>
      </c>
      <c r="F40" s="25">
        <f>(-PMT(LoanAPR60/52,260,-LoanPlanC))</f>
        <v/>
      </c>
      <c r="G40" s="25">
        <f>(-PMT(LoanAPR60/52,260,-LoanPlanC))</f>
        <v/>
      </c>
      <c r="H40" s="25">
        <f>(-PMT(LoanAPR60/52,260,-LoanPlanC))</f>
        <v/>
      </c>
      <c r="I40" s="25">
        <f>(-PMT(LoanAPR60/52,260,-LoanPlanC))</f>
        <v/>
      </c>
      <c r="J40" s="25">
        <f>(-PMT(LoanAPR60/52,260,-LoanPlanC))</f>
        <v/>
      </c>
      <c r="K40" s="25">
        <f>(-PMT(LoanAPR60/52,260,-LoanPlanC))</f>
        <v/>
      </c>
      <c r="L40" s="25">
        <f>(-PMT(LoanAPR60/52,260,-LoanPlanC))</f>
        <v/>
      </c>
      <c r="M40" s="25">
        <f>(-PMT(LoanAPR60/52,260,-LoanPlanC))</f>
        <v/>
      </c>
      <c r="N40" s="25">
        <f>(-PMT(LoanAPR60/52,260,-LoanPlanC))</f>
        <v/>
      </c>
      <c r="O40" s="25">
        <f>(-PMT(LoanAPR60/52,260,-LoanPlanC))</f>
        <v/>
      </c>
    </row>
    <row r="41">
      <c r="B41" s="10" t="inlineStr">
        <is>
          <t>Net cash flow this week</t>
        </is>
      </c>
      <c r="C41" s="24">
        <f>C36+C37+C38+C39+C40</f>
        <v/>
      </c>
      <c r="D41" s="24">
        <f>D36+D37+D38+D39+D40</f>
        <v/>
      </c>
      <c r="E41" s="24">
        <f>E36+E37+E38+E39+E40</f>
        <v/>
      </c>
      <c r="F41" s="24">
        <f>F36+F37+F38+F39+F40</f>
        <v/>
      </c>
      <c r="G41" s="24">
        <f>G36+G37+G38+G39+G40</f>
        <v/>
      </c>
      <c r="H41" s="24">
        <f>H36+H37+H38+H39+H40</f>
        <v/>
      </c>
      <c r="I41" s="24">
        <f>I36+I37+I38+I39+I40</f>
        <v/>
      </c>
      <c r="J41" s="24">
        <f>J36+J37+J38+J39+J40</f>
        <v/>
      </c>
      <c r="K41" s="24">
        <f>K36+K37+K38+K39+K40</f>
        <v/>
      </c>
      <c r="L41" s="24">
        <f>L36+L37+L38+L39+L40</f>
        <v/>
      </c>
      <c r="M41" s="24">
        <f>M36+M37+M38+M39+M40</f>
        <v/>
      </c>
      <c r="N41" s="24">
        <f>N36+N37+N38+N39+N40</f>
        <v/>
      </c>
      <c r="O41" s="24">
        <f>O36+O37+O38+O39+O40</f>
        <v/>
      </c>
    </row>
    <row r="42">
      <c r="B42" s="10" t="inlineStr">
        <is>
          <t>Beginning cash</t>
        </is>
      </c>
      <c r="C42" s="26">
        <f>CashOnHand</f>
        <v/>
      </c>
      <c r="D42" s="26">
        <f>C29</f>
        <v/>
      </c>
      <c r="E42" s="26">
        <f>D29</f>
        <v/>
      </c>
      <c r="F42" s="26">
        <f>E29</f>
        <v/>
      </c>
      <c r="G42" s="26">
        <f>F29</f>
        <v/>
      </c>
      <c r="H42" s="26">
        <f>G29</f>
        <v/>
      </c>
      <c r="I42" s="26">
        <f>H29</f>
        <v/>
      </c>
      <c r="J42" s="26">
        <f>I29</f>
        <v/>
      </c>
      <c r="K42" s="26">
        <f>J29</f>
        <v/>
      </c>
      <c r="L42" s="26">
        <f>K29</f>
        <v/>
      </c>
      <c r="M42" s="26">
        <f>L29</f>
        <v/>
      </c>
      <c r="N42" s="26">
        <f>M29</f>
        <v/>
      </c>
      <c r="O42" s="26">
        <f>N29</f>
        <v/>
      </c>
    </row>
    <row r="43">
      <c r="B43" s="10" t="inlineStr">
        <is>
          <t>Ending cash</t>
        </is>
      </c>
      <c r="C43" s="24">
        <f>C42+C41</f>
        <v/>
      </c>
      <c r="D43" s="24">
        <f>D42+D41</f>
        <v/>
      </c>
      <c r="E43" s="24">
        <f>E42+E41</f>
        <v/>
      </c>
      <c r="F43" s="24">
        <f>F42+F41</f>
        <v/>
      </c>
      <c r="G43" s="24">
        <f>G42+G41</f>
        <v/>
      </c>
      <c r="H43" s="24">
        <f>H42+H41</f>
        <v/>
      </c>
      <c r="I43" s="24">
        <f>I42+I41</f>
        <v/>
      </c>
      <c r="J43" s="24">
        <f>J42+J41</f>
        <v/>
      </c>
      <c r="K43" s="24">
        <f>K42+K41</f>
        <v/>
      </c>
      <c r="L43" s="24">
        <f>L42+L41</f>
        <v/>
      </c>
      <c r="M43" s="24">
        <f>M42+M41</f>
        <v/>
      </c>
      <c r="N43" s="24">
        <f>N42+N41</f>
        <v/>
      </c>
      <c r="O43" s="24">
        <f>O42+O41</f>
        <v/>
      </c>
    </row>
    <row r="44">
      <c r="B44" s="10" t="inlineStr">
        <is>
          <t>Minimum cash over horizon</t>
        </is>
      </c>
      <c r="C44" s="26">
        <f>MIN(C43:O43)</f>
        <v/>
      </c>
    </row>
    <row r="45">
      <c r="B45" s="10" t="inlineStr">
        <is>
          <t>First week ending cash goes negative</t>
        </is>
      </c>
      <c r="C45" s="10">
        <f>IF(MIN(C43:O43)&gt;=0,"No negative week","Wk "&amp;(MATCH(TRUE,INDEX(C43:O43&lt;0,0),0)))</f>
        <v/>
      </c>
    </row>
    <row r="47">
      <c r="B47" s="15" t="inlineStr">
        <is>
          <t>STRESS PANEL: same plans, harder operating environment (each block restarts from $150k cash so panels are comparable)</t>
        </is>
      </c>
      <c r="C47" s="20" t="n"/>
      <c r="D47" s="20" t="n"/>
      <c r="E47" s="20" t="n"/>
      <c r="F47" s="20" t="n"/>
      <c r="G47" s="20" t="n"/>
      <c r="H47" s="20" t="n"/>
      <c r="I47" s="20" t="n"/>
      <c r="J47" s="20" t="n"/>
      <c r="K47" s="20" t="n"/>
      <c r="L47" s="20" t="n"/>
      <c r="M47" s="20" t="n"/>
      <c r="N47" s="20" t="n"/>
      <c r="O47" s="21" t="n"/>
    </row>
    <row r="48">
      <c r="B48" s="15" t="inlineStr">
        <is>
          <t>STRESS / Plan A (LOW ops, no debt)</t>
        </is>
      </c>
      <c r="C48" s="20" t="n"/>
      <c r="D48" s="20" t="n"/>
      <c r="E48" s="20" t="n"/>
      <c r="F48" s="20" t="n"/>
      <c r="G48" s="20" t="n"/>
      <c r="H48" s="20" t="n"/>
      <c r="I48" s="20" t="n"/>
      <c r="J48" s="20" t="n"/>
      <c r="K48" s="20" t="n"/>
      <c r="L48" s="20" t="n"/>
      <c r="M48" s="20" t="n"/>
      <c r="N48" s="20" t="n"/>
      <c r="O48" s="21" t="n"/>
    </row>
    <row r="49">
      <c r="B49" s="14" t="inlineStr">
        <is>
          <t>Net ops cash (A_st)</t>
        </is>
      </c>
      <c r="C49" s="25">
        <f>OpsLow</f>
        <v/>
      </c>
      <c r="D49" s="25">
        <f>OpsLow</f>
        <v/>
      </c>
      <c r="E49" s="25">
        <f>OpsLow</f>
        <v/>
      </c>
      <c r="F49" s="25">
        <f>OpsLow</f>
        <v/>
      </c>
      <c r="G49" s="25">
        <f>OpsLow</f>
        <v/>
      </c>
      <c r="H49" s="25">
        <f>OpsLow</f>
        <v/>
      </c>
      <c r="I49" s="25">
        <f>OpsLow</f>
        <v/>
      </c>
      <c r="J49" s="25">
        <f>OpsLow</f>
        <v/>
      </c>
      <c r="K49" s="25">
        <f>OpsLow</f>
        <v/>
      </c>
      <c r="L49" s="25">
        <f>OpsLow</f>
        <v/>
      </c>
      <c r="M49" s="25">
        <f>OpsLow</f>
        <v/>
      </c>
      <c r="N49" s="25">
        <f>OpsLow</f>
        <v/>
      </c>
      <c r="O49" s="25">
        <f>OpsLow</f>
        <v/>
      </c>
    </row>
    <row r="50">
      <c r="B50" s="14" t="inlineStr">
        <is>
          <t>Incremental CM (ramp, 0 in install window)</t>
        </is>
      </c>
      <c r="C50" s="25">
        <f>0</f>
        <v/>
      </c>
      <c r="D50" s="25">
        <f>0</f>
        <v/>
      </c>
      <c r="E50" s="25">
        <f>0</f>
        <v/>
      </c>
      <c r="F50" s="25">
        <f>IncMed</f>
        <v/>
      </c>
      <c r="G50" s="25">
        <f>IncMed</f>
        <v/>
      </c>
      <c r="H50" s="25">
        <f>IncMed</f>
        <v/>
      </c>
      <c r="I50" s="25">
        <f>IncMed</f>
        <v/>
      </c>
      <c r="J50" s="25">
        <f>IncMed</f>
        <v/>
      </c>
      <c r="K50" s="25">
        <f>IncMed</f>
        <v/>
      </c>
      <c r="L50" s="25">
        <f>IncMed</f>
        <v/>
      </c>
      <c r="M50" s="25">
        <f>IncMed</f>
        <v/>
      </c>
      <c r="N50" s="25">
        <f>IncMed</f>
        <v/>
      </c>
      <c r="O50" s="25">
        <f>IncMed</f>
        <v/>
      </c>
    </row>
    <row r="51">
      <c r="B51" s="10" t="inlineStr">
        <is>
          <t>Total receipts</t>
        </is>
      </c>
      <c r="C51" s="26">
        <f>C49+C50</f>
        <v/>
      </c>
      <c r="D51" s="26">
        <f>D49+D50</f>
        <v/>
      </c>
      <c r="E51" s="26">
        <f>E49+E50</f>
        <v/>
      </c>
      <c r="F51" s="26">
        <f>F49+F50</f>
        <v/>
      </c>
      <c r="G51" s="26">
        <f>G49+G50</f>
        <v/>
      </c>
      <c r="H51" s="26">
        <f>H49+H50</f>
        <v/>
      </c>
      <c r="I51" s="26">
        <f>I49+I50</f>
        <v/>
      </c>
      <c r="J51" s="26">
        <f>J49+J50</f>
        <v/>
      </c>
      <c r="K51" s="26">
        <f>K49+K50</f>
        <v/>
      </c>
      <c r="L51" s="26">
        <f>L49+L50</f>
        <v/>
      </c>
      <c r="M51" s="26">
        <f>M49+M50</f>
        <v/>
      </c>
      <c r="N51" s="26">
        <f>N49+N50</f>
        <v/>
      </c>
      <c r="O51" s="26">
        <f>O49+O50</f>
        <v/>
      </c>
    </row>
    <row r="52">
      <c r="B52" s="14" t="inlineStr">
        <is>
          <t>Owner weekly draw (personal)</t>
        </is>
      </c>
      <c r="C52" s="25">
        <f>-OwnerDraw</f>
        <v/>
      </c>
      <c r="D52" s="25">
        <f>-OwnerDraw</f>
        <v/>
      </c>
      <c r="E52" s="25">
        <f>-OwnerDraw</f>
        <v/>
      </c>
      <c r="F52" s="25">
        <f>-OwnerDraw</f>
        <v/>
      </c>
      <c r="G52" s="25">
        <f>-OwnerDraw</f>
        <v/>
      </c>
      <c r="H52" s="25">
        <f>-OwnerDraw</f>
        <v/>
      </c>
      <c r="I52" s="25">
        <f>-OwnerDraw</f>
        <v/>
      </c>
      <c r="J52" s="25">
        <f>-OwnerDraw</f>
        <v/>
      </c>
      <c r="K52" s="25">
        <f>-OwnerDraw</f>
        <v/>
      </c>
      <c r="L52" s="25">
        <f>-OwnerDraw</f>
        <v/>
      </c>
      <c r="M52" s="25">
        <f>-OwnerDraw</f>
        <v/>
      </c>
      <c r="N52" s="25">
        <f>-OwnerDraw</f>
        <v/>
      </c>
      <c r="O52" s="25">
        <f>-OwnerDraw</f>
        <v/>
      </c>
    </row>
    <row r="53">
      <c r="B53" s="14" t="inlineStr">
        <is>
          <t>Repositioning capex (A_st, Wk 1)</t>
        </is>
      </c>
      <c r="C53" s="25">
        <f>-(CapexPlanA)</f>
        <v/>
      </c>
      <c r="D53" s="25">
        <f>0</f>
        <v/>
      </c>
      <c r="E53" s="25">
        <f>0</f>
        <v/>
      </c>
      <c r="F53" s="25">
        <f>0</f>
        <v/>
      </c>
      <c r="G53" s="25">
        <f>0</f>
        <v/>
      </c>
      <c r="H53" s="25">
        <f>0</f>
        <v/>
      </c>
      <c r="I53" s="25">
        <f>0</f>
        <v/>
      </c>
      <c r="J53" s="25">
        <f>0</f>
        <v/>
      </c>
      <c r="K53" s="25">
        <f>0</f>
        <v/>
      </c>
      <c r="L53" s="25">
        <f>0</f>
        <v/>
      </c>
      <c r="M53" s="25">
        <f>0</f>
        <v/>
      </c>
      <c r="N53" s="25">
        <f>0</f>
        <v/>
      </c>
      <c r="O53" s="25">
        <f>0</f>
        <v/>
      </c>
    </row>
    <row r="54">
      <c r="B54" s="14" t="inlineStr">
        <is>
          <t>Loan draw (A_st, Wk 1)</t>
        </is>
      </c>
      <c r="C54" s="25">
        <f>LoanPlanA</f>
        <v/>
      </c>
      <c r="D54" s="25">
        <f>0</f>
        <v/>
      </c>
      <c r="E54" s="25">
        <f>0</f>
        <v/>
      </c>
      <c r="F54" s="25">
        <f>0</f>
        <v/>
      </c>
      <c r="G54" s="25">
        <f>0</f>
        <v/>
      </c>
      <c r="H54" s="25">
        <f>0</f>
        <v/>
      </c>
      <c r="I54" s="25">
        <f>0</f>
        <v/>
      </c>
      <c r="J54" s="25">
        <f>0</f>
        <v/>
      </c>
      <c r="K54" s="25">
        <f>0</f>
        <v/>
      </c>
      <c r="L54" s="25">
        <f>0</f>
        <v/>
      </c>
      <c r="M54" s="25">
        <f>0</f>
        <v/>
      </c>
      <c r="N54" s="25">
        <f>0</f>
        <v/>
      </c>
      <c r="O54" s="25">
        <f>0</f>
        <v/>
      </c>
    </row>
    <row r="55">
      <c r="B55" s="14" t="inlineStr">
        <is>
          <t>Weekly debt service (P+I)</t>
        </is>
      </c>
      <c r="C55" s="25">
        <f>(-PMT(LoanAPR60/52,260,-LoanPlanA))</f>
        <v/>
      </c>
      <c r="D55" s="25">
        <f>(-PMT(LoanAPR60/52,260,-LoanPlanA))</f>
        <v/>
      </c>
      <c r="E55" s="25">
        <f>(-PMT(LoanAPR60/52,260,-LoanPlanA))</f>
        <v/>
      </c>
      <c r="F55" s="25">
        <f>(-PMT(LoanAPR60/52,260,-LoanPlanA))</f>
        <v/>
      </c>
      <c r="G55" s="25">
        <f>(-PMT(LoanAPR60/52,260,-LoanPlanA))</f>
        <v/>
      </c>
      <c r="H55" s="25">
        <f>(-PMT(LoanAPR60/52,260,-LoanPlanA))</f>
        <v/>
      </c>
      <c r="I55" s="25">
        <f>(-PMT(LoanAPR60/52,260,-LoanPlanA))</f>
        <v/>
      </c>
      <c r="J55" s="25">
        <f>(-PMT(LoanAPR60/52,260,-LoanPlanA))</f>
        <v/>
      </c>
      <c r="K55" s="25">
        <f>(-PMT(LoanAPR60/52,260,-LoanPlanA))</f>
        <v/>
      </c>
      <c r="L55" s="25">
        <f>(-PMT(LoanAPR60/52,260,-LoanPlanA))</f>
        <v/>
      </c>
      <c r="M55" s="25">
        <f>(-PMT(LoanAPR60/52,260,-LoanPlanA))</f>
        <v/>
      </c>
      <c r="N55" s="25">
        <f>(-PMT(LoanAPR60/52,260,-LoanPlanA))</f>
        <v/>
      </c>
      <c r="O55" s="25">
        <f>(-PMT(LoanAPR60/52,260,-LoanPlanA))</f>
        <v/>
      </c>
    </row>
    <row r="56">
      <c r="B56" s="10" t="inlineStr">
        <is>
          <t>Net cash flow this week</t>
        </is>
      </c>
      <c r="C56" s="24">
        <f>C51+C52+C53+C54+C55</f>
        <v/>
      </c>
      <c r="D56" s="24">
        <f>D51+D52+D53+D54+D55</f>
        <v/>
      </c>
      <c r="E56" s="24">
        <f>E51+E52+E53+E54+E55</f>
        <v/>
      </c>
      <c r="F56" s="24">
        <f>F51+F52+F53+F54+F55</f>
        <v/>
      </c>
      <c r="G56" s="24">
        <f>G51+G52+G53+G54+G55</f>
        <v/>
      </c>
      <c r="H56" s="24">
        <f>H51+H52+H53+H54+H55</f>
        <v/>
      </c>
      <c r="I56" s="24">
        <f>I51+I52+I53+I54+I55</f>
        <v/>
      </c>
      <c r="J56" s="24">
        <f>J51+J52+J53+J54+J55</f>
        <v/>
      </c>
      <c r="K56" s="24">
        <f>K51+K52+K53+K54+K55</f>
        <v/>
      </c>
      <c r="L56" s="24">
        <f>L51+L52+L53+L54+L55</f>
        <v/>
      </c>
      <c r="M56" s="24">
        <f>M51+M52+M53+M54+M55</f>
        <v/>
      </c>
      <c r="N56" s="24">
        <f>N51+N52+N53+N54+N55</f>
        <v/>
      </c>
      <c r="O56" s="24">
        <f>O51+O52+O53+O54+O55</f>
        <v/>
      </c>
    </row>
    <row r="57">
      <c r="B57" s="10" t="inlineStr">
        <is>
          <t>Beginning cash</t>
        </is>
      </c>
      <c r="C57" s="26">
        <f>CashOnHand</f>
        <v/>
      </c>
      <c r="D57" s="26">
        <f>C15</f>
        <v/>
      </c>
      <c r="E57" s="26">
        <f>D15</f>
        <v/>
      </c>
      <c r="F57" s="26">
        <f>E15</f>
        <v/>
      </c>
      <c r="G57" s="26">
        <f>F15</f>
        <v/>
      </c>
      <c r="H57" s="26">
        <f>G15</f>
        <v/>
      </c>
      <c r="I57" s="26">
        <f>H15</f>
        <v/>
      </c>
      <c r="J57" s="26">
        <f>I15</f>
        <v/>
      </c>
      <c r="K57" s="26">
        <f>J15</f>
        <v/>
      </c>
      <c r="L57" s="26">
        <f>K15</f>
        <v/>
      </c>
      <c r="M57" s="26">
        <f>L15</f>
        <v/>
      </c>
      <c r="N57" s="26">
        <f>M15</f>
        <v/>
      </c>
      <c r="O57" s="26">
        <f>N15</f>
        <v/>
      </c>
    </row>
    <row r="58">
      <c r="B58" s="10" t="inlineStr">
        <is>
          <t>Ending cash</t>
        </is>
      </c>
      <c r="C58" s="24">
        <f>C57+C56</f>
        <v/>
      </c>
      <c r="D58" s="24">
        <f>D57+D56</f>
        <v/>
      </c>
      <c r="E58" s="24">
        <f>E57+E56</f>
        <v/>
      </c>
      <c r="F58" s="24">
        <f>F57+F56</f>
        <v/>
      </c>
      <c r="G58" s="24">
        <f>G57+G56</f>
        <v/>
      </c>
      <c r="H58" s="24">
        <f>H57+H56</f>
        <v/>
      </c>
      <c r="I58" s="24">
        <f>I57+I56</f>
        <v/>
      </c>
      <c r="J58" s="24">
        <f>J57+J56</f>
        <v/>
      </c>
      <c r="K58" s="24">
        <f>K57+K56</f>
        <v/>
      </c>
      <c r="L58" s="24">
        <f>L57+L56</f>
        <v/>
      </c>
      <c r="M58" s="24">
        <f>M57+M56</f>
        <v/>
      </c>
      <c r="N58" s="24">
        <f>N57+N56</f>
        <v/>
      </c>
      <c r="O58" s="24">
        <f>O57+O56</f>
        <v/>
      </c>
    </row>
    <row r="59">
      <c r="B59" s="10" t="inlineStr">
        <is>
          <t>Minimum cash over horizon</t>
        </is>
      </c>
      <c r="C59" s="26">
        <f>MIN(C58:O58)</f>
        <v/>
      </c>
    </row>
    <row r="60">
      <c r="B60" s="10" t="inlineStr">
        <is>
          <t>First week ending cash goes negative</t>
        </is>
      </c>
      <c r="C60" s="10">
        <f>IF(MIN(C58:O58)&gt;=0,"No negative week","Wk "&amp;(MATCH(TRUE,INDEX(C58:O58&lt;0,0),0)))</f>
        <v/>
      </c>
    </row>
    <row r="62">
      <c r="B62" s="15" t="inlineStr">
        <is>
          <t>STRESS / Plan B (LOW ops, $100k loan)</t>
        </is>
      </c>
      <c r="C62" s="20" t="n"/>
      <c r="D62" s="20" t="n"/>
      <c r="E62" s="20" t="n"/>
      <c r="F62" s="20" t="n"/>
      <c r="G62" s="20" t="n"/>
      <c r="H62" s="20" t="n"/>
      <c r="I62" s="20" t="n"/>
      <c r="J62" s="20" t="n"/>
      <c r="K62" s="20" t="n"/>
      <c r="L62" s="20" t="n"/>
      <c r="M62" s="20" t="n"/>
      <c r="N62" s="20" t="n"/>
      <c r="O62" s="21" t="n"/>
    </row>
    <row r="63">
      <c r="B63" s="14" t="inlineStr">
        <is>
          <t>Net ops cash (B_st)</t>
        </is>
      </c>
      <c r="C63" s="25">
        <f>OpsLow</f>
        <v/>
      </c>
      <c r="D63" s="25">
        <f>OpsLow</f>
        <v/>
      </c>
      <c r="E63" s="25">
        <f>OpsLow</f>
        <v/>
      </c>
      <c r="F63" s="25">
        <f>OpsLow</f>
        <v/>
      </c>
      <c r="G63" s="25">
        <f>OpsLow</f>
        <v/>
      </c>
      <c r="H63" s="25">
        <f>OpsLow</f>
        <v/>
      </c>
      <c r="I63" s="25">
        <f>OpsLow</f>
        <v/>
      </c>
      <c r="J63" s="25">
        <f>OpsLow</f>
        <v/>
      </c>
      <c r="K63" s="25">
        <f>OpsLow</f>
        <v/>
      </c>
      <c r="L63" s="25">
        <f>OpsLow</f>
        <v/>
      </c>
      <c r="M63" s="25">
        <f>OpsLow</f>
        <v/>
      </c>
      <c r="N63" s="25">
        <f>OpsLow</f>
        <v/>
      </c>
      <c r="O63" s="25">
        <f>OpsLow</f>
        <v/>
      </c>
    </row>
    <row r="64">
      <c r="B64" s="14" t="inlineStr">
        <is>
          <t>Incremental CM (ramp, 0 in install window)</t>
        </is>
      </c>
      <c r="C64" s="25">
        <f>0</f>
        <v/>
      </c>
      <c r="D64" s="25">
        <f>0</f>
        <v/>
      </c>
      <c r="E64" s="25">
        <f>0</f>
        <v/>
      </c>
      <c r="F64" s="25">
        <f>IncMed</f>
        <v/>
      </c>
      <c r="G64" s="25">
        <f>IncMed</f>
        <v/>
      </c>
      <c r="H64" s="25">
        <f>IncMed</f>
        <v/>
      </c>
      <c r="I64" s="25">
        <f>IncMed</f>
        <v/>
      </c>
      <c r="J64" s="25">
        <f>IncMed</f>
        <v/>
      </c>
      <c r="K64" s="25">
        <f>IncMed</f>
        <v/>
      </c>
      <c r="L64" s="25">
        <f>IncMed</f>
        <v/>
      </c>
      <c r="M64" s="25">
        <f>IncMed</f>
        <v/>
      </c>
      <c r="N64" s="25">
        <f>IncMed</f>
        <v/>
      </c>
      <c r="O64" s="25">
        <f>IncMed</f>
        <v/>
      </c>
    </row>
    <row r="65">
      <c r="B65" s="10" t="inlineStr">
        <is>
          <t>Total receipts</t>
        </is>
      </c>
      <c r="C65" s="26">
        <f>C63+C64</f>
        <v/>
      </c>
      <c r="D65" s="26">
        <f>D63+D64</f>
        <v/>
      </c>
      <c r="E65" s="26">
        <f>E63+E64</f>
        <v/>
      </c>
      <c r="F65" s="26">
        <f>F63+F64</f>
        <v/>
      </c>
      <c r="G65" s="26">
        <f>G63+G64</f>
        <v/>
      </c>
      <c r="H65" s="26">
        <f>H63+H64</f>
        <v/>
      </c>
      <c r="I65" s="26">
        <f>I63+I64</f>
        <v/>
      </c>
      <c r="J65" s="26">
        <f>J63+J64</f>
        <v/>
      </c>
      <c r="K65" s="26">
        <f>K63+K64</f>
        <v/>
      </c>
      <c r="L65" s="26">
        <f>L63+L64</f>
        <v/>
      </c>
      <c r="M65" s="26">
        <f>M63+M64</f>
        <v/>
      </c>
      <c r="N65" s="26">
        <f>N63+N64</f>
        <v/>
      </c>
      <c r="O65" s="26">
        <f>O63+O64</f>
        <v/>
      </c>
    </row>
    <row r="66">
      <c r="B66" s="14" t="inlineStr">
        <is>
          <t>Owner weekly draw (personal)</t>
        </is>
      </c>
      <c r="C66" s="25">
        <f>-OwnerDraw</f>
        <v/>
      </c>
      <c r="D66" s="25">
        <f>-OwnerDraw</f>
        <v/>
      </c>
      <c r="E66" s="25">
        <f>-OwnerDraw</f>
        <v/>
      </c>
      <c r="F66" s="25">
        <f>-OwnerDraw</f>
        <v/>
      </c>
      <c r="G66" s="25">
        <f>-OwnerDraw</f>
        <v/>
      </c>
      <c r="H66" s="25">
        <f>-OwnerDraw</f>
        <v/>
      </c>
      <c r="I66" s="25">
        <f>-OwnerDraw</f>
        <v/>
      </c>
      <c r="J66" s="25">
        <f>-OwnerDraw</f>
        <v/>
      </c>
      <c r="K66" s="25">
        <f>-OwnerDraw</f>
        <v/>
      </c>
      <c r="L66" s="25">
        <f>-OwnerDraw</f>
        <v/>
      </c>
      <c r="M66" s="25">
        <f>-OwnerDraw</f>
        <v/>
      </c>
      <c r="N66" s="25">
        <f>-OwnerDraw</f>
        <v/>
      </c>
      <c r="O66" s="25">
        <f>-OwnerDraw</f>
        <v/>
      </c>
    </row>
    <row r="67">
      <c r="B67" s="14" t="inlineStr">
        <is>
          <t>Repositioning capex (B_st, Wk 1)</t>
        </is>
      </c>
      <c r="C67" s="25">
        <f>-(CapexPlanA)</f>
        <v/>
      </c>
      <c r="D67" s="25">
        <f>0</f>
        <v/>
      </c>
      <c r="E67" s="25">
        <f>0</f>
        <v/>
      </c>
      <c r="F67" s="25">
        <f>0</f>
        <v/>
      </c>
      <c r="G67" s="25">
        <f>0</f>
        <v/>
      </c>
      <c r="H67" s="25">
        <f>0</f>
        <v/>
      </c>
      <c r="I67" s="25">
        <f>0</f>
        <v/>
      </c>
      <c r="J67" s="25">
        <f>0</f>
        <v/>
      </c>
      <c r="K67" s="25">
        <f>0</f>
        <v/>
      </c>
      <c r="L67" s="25">
        <f>0</f>
        <v/>
      </c>
      <c r="M67" s="25">
        <f>0</f>
        <v/>
      </c>
      <c r="N67" s="25">
        <f>0</f>
        <v/>
      </c>
      <c r="O67" s="25">
        <f>0</f>
        <v/>
      </c>
    </row>
    <row r="68">
      <c r="B68" s="14" t="inlineStr">
        <is>
          <t>Loan draw (B_st, Wk 1)</t>
        </is>
      </c>
      <c r="C68" s="25">
        <f>LoanPlanB</f>
        <v/>
      </c>
      <c r="D68" s="25">
        <f>0</f>
        <v/>
      </c>
      <c r="E68" s="25">
        <f>0</f>
        <v/>
      </c>
      <c r="F68" s="25">
        <f>0</f>
        <v/>
      </c>
      <c r="G68" s="25">
        <f>0</f>
        <v/>
      </c>
      <c r="H68" s="25">
        <f>0</f>
        <v/>
      </c>
      <c r="I68" s="25">
        <f>0</f>
        <v/>
      </c>
      <c r="J68" s="25">
        <f>0</f>
        <v/>
      </c>
      <c r="K68" s="25">
        <f>0</f>
        <v/>
      </c>
      <c r="L68" s="25">
        <f>0</f>
        <v/>
      </c>
      <c r="M68" s="25">
        <f>0</f>
        <v/>
      </c>
      <c r="N68" s="25">
        <f>0</f>
        <v/>
      </c>
      <c r="O68" s="25">
        <f>0</f>
        <v/>
      </c>
    </row>
    <row r="69">
      <c r="B69" s="14" t="inlineStr">
        <is>
          <t>Weekly debt service (P+I)</t>
        </is>
      </c>
      <c r="C69" s="25">
        <f>(-PMT(LoanAPR60/52,260,-LoanPlanB))</f>
        <v/>
      </c>
      <c r="D69" s="25">
        <f>(-PMT(LoanAPR60/52,260,-LoanPlanB))</f>
        <v/>
      </c>
      <c r="E69" s="25">
        <f>(-PMT(LoanAPR60/52,260,-LoanPlanB))</f>
        <v/>
      </c>
      <c r="F69" s="25">
        <f>(-PMT(LoanAPR60/52,260,-LoanPlanB))</f>
        <v/>
      </c>
      <c r="G69" s="25">
        <f>(-PMT(LoanAPR60/52,260,-LoanPlanB))</f>
        <v/>
      </c>
      <c r="H69" s="25">
        <f>(-PMT(LoanAPR60/52,260,-LoanPlanB))</f>
        <v/>
      </c>
      <c r="I69" s="25">
        <f>(-PMT(LoanAPR60/52,260,-LoanPlanB))</f>
        <v/>
      </c>
      <c r="J69" s="25">
        <f>(-PMT(LoanAPR60/52,260,-LoanPlanB))</f>
        <v/>
      </c>
      <c r="K69" s="25">
        <f>(-PMT(LoanAPR60/52,260,-LoanPlanB))</f>
        <v/>
      </c>
      <c r="L69" s="25">
        <f>(-PMT(LoanAPR60/52,260,-LoanPlanB))</f>
        <v/>
      </c>
      <c r="M69" s="25">
        <f>(-PMT(LoanAPR60/52,260,-LoanPlanB))</f>
        <v/>
      </c>
      <c r="N69" s="25">
        <f>(-PMT(LoanAPR60/52,260,-LoanPlanB))</f>
        <v/>
      </c>
      <c r="O69" s="25">
        <f>(-PMT(LoanAPR60/52,260,-LoanPlanB))</f>
        <v/>
      </c>
    </row>
    <row r="70">
      <c r="B70" s="10" t="inlineStr">
        <is>
          <t>Net cash flow this week</t>
        </is>
      </c>
      <c r="C70" s="24">
        <f>C65+C66+C67+C68+C69</f>
        <v/>
      </c>
      <c r="D70" s="24">
        <f>D65+D66+D67+D68+D69</f>
        <v/>
      </c>
      <c r="E70" s="24">
        <f>E65+E66+E67+E68+E69</f>
        <v/>
      </c>
      <c r="F70" s="24">
        <f>F65+F66+F67+F68+F69</f>
        <v/>
      </c>
      <c r="G70" s="24">
        <f>G65+G66+G67+G68+G69</f>
        <v/>
      </c>
      <c r="H70" s="24">
        <f>H65+H66+H67+H68+H69</f>
        <v/>
      </c>
      <c r="I70" s="24">
        <f>I65+I66+I67+I68+I69</f>
        <v/>
      </c>
      <c r="J70" s="24">
        <f>J65+J66+J67+J68+J69</f>
        <v/>
      </c>
      <c r="K70" s="24">
        <f>K65+K66+K67+K68+K69</f>
        <v/>
      </c>
      <c r="L70" s="24">
        <f>L65+L66+L67+L68+L69</f>
        <v/>
      </c>
      <c r="M70" s="24">
        <f>M65+M66+M67+M68+M69</f>
        <v/>
      </c>
      <c r="N70" s="24">
        <f>N65+N66+N67+N68+N69</f>
        <v/>
      </c>
      <c r="O70" s="24">
        <f>O65+O66+O67+O68+O69</f>
        <v/>
      </c>
    </row>
    <row r="71">
      <c r="B71" s="10" t="inlineStr">
        <is>
          <t>Beginning cash</t>
        </is>
      </c>
      <c r="C71" s="26">
        <f>CashOnHand</f>
        <v/>
      </c>
      <c r="D71" s="26">
        <f>C58</f>
        <v/>
      </c>
      <c r="E71" s="26">
        <f>D58</f>
        <v/>
      </c>
      <c r="F71" s="26">
        <f>E58</f>
        <v/>
      </c>
      <c r="G71" s="26">
        <f>F58</f>
        <v/>
      </c>
      <c r="H71" s="26">
        <f>G58</f>
        <v/>
      </c>
      <c r="I71" s="26">
        <f>H58</f>
        <v/>
      </c>
      <c r="J71" s="26">
        <f>I58</f>
        <v/>
      </c>
      <c r="K71" s="26">
        <f>J58</f>
        <v/>
      </c>
      <c r="L71" s="26">
        <f>K58</f>
        <v/>
      </c>
      <c r="M71" s="26">
        <f>L58</f>
        <v/>
      </c>
      <c r="N71" s="26">
        <f>M58</f>
        <v/>
      </c>
      <c r="O71" s="26">
        <f>N58</f>
        <v/>
      </c>
    </row>
    <row r="72">
      <c r="B72" s="10" t="inlineStr">
        <is>
          <t>Ending cash</t>
        </is>
      </c>
      <c r="C72" s="24">
        <f>C71+C70</f>
        <v/>
      </c>
      <c r="D72" s="24">
        <f>D71+D70</f>
        <v/>
      </c>
      <c r="E72" s="24">
        <f>E71+E70</f>
        <v/>
      </c>
      <c r="F72" s="24">
        <f>F71+F70</f>
        <v/>
      </c>
      <c r="G72" s="24">
        <f>G71+G70</f>
        <v/>
      </c>
      <c r="H72" s="24">
        <f>H71+H70</f>
        <v/>
      </c>
      <c r="I72" s="24">
        <f>I71+I70</f>
        <v/>
      </c>
      <c r="J72" s="24">
        <f>J71+J70</f>
        <v/>
      </c>
      <c r="K72" s="24">
        <f>K71+K70</f>
        <v/>
      </c>
      <c r="L72" s="24">
        <f>L71+L70</f>
        <v/>
      </c>
      <c r="M72" s="24">
        <f>M71+M70</f>
        <v/>
      </c>
      <c r="N72" s="24">
        <f>N71+N70</f>
        <v/>
      </c>
      <c r="O72" s="24">
        <f>O71+O70</f>
        <v/>
      </c>
    </row>
    <row r="73">
      <c r="B73" s="10" t="inlineStr">
        <is>
          <t>Minimum cash over horizon</t>
        </is>
      </c>
      <c r="C73" s="26">
        <f>MIN(C72:O72)</f>
        <v/>
      </c>
    </row>
    <row r="74">
      <c r="B74" s="10" t="inlineStr">
        <is>
          <t>First week ending cash goes negative</t>
        </is>
      </c>
      <c r="C74" s="10">
        <f>IF(MIN(C72:O72)&gt;=0,"No negative week","Wk "&amp;(MATCH(TRUE,INDEX(C72:O72&lt;0,0),0)))</f>
        <v/>
      </c>
    </row>
    <row r="76">
      <c r="B76" s="15" t="inlineStr">
        <is>
          <t>STRESS / Plan C (LOW ops, $200k loan)</t>
        </is>
      </c>
      <c r="C76" s="20" t="n"/>
      <c r="D76" s="20" t="n"/>
      <c r="E76" s="20" t="n"/>
      <c r="F76" s="20" t="n"/>
      <c r="G76" s="20" t="n"/>
      <c r="H76" s="20" t="n"/>
      <c r="I76" s="20" t="n"/>
      <c r="J76" s="20" t="n"/>
      <c r="K76" s="20" t="n"/>
      <c r="L76" s="20" t="n"/>
      <c r="M76" s="20" t="n"/>
      <c r="N76" s="20" t="n"/>
      <c r="O76" s="21" t="n"/>
    </row>
    <row r="77">
      <c r="B77" s="14" t="inlineStr">
        <is>
          <t>Net ops cash (C_st)</t>
        </is>
      </c>
      <c r="C77" s="25">
        <f>OpsLow</f>
        <v/>
      </c>
      <c r="D77" s="25">
        <f>OpsLow</f>
        <v/>
      </c>
      <c r="E77" s="25">
        <f>OpsLow</f>
        <v/>
      </c>
      <c r="F77" s="25">
        <f>OpsLow</f>
        <v/>
      </c>
      <c r="G77" s="25">
        <f>OpsLow</f>
        <v/>
      </c>
      <c r="H77" s="25">
        <f>OpsLow</f>
        <v/>
      </c>
      <c r="I77" s="25">
        <f>OpsLow</f>
        <v/>
      </c>
      <c r="J77" s="25">
        <f>OpsLow</f>
        <v/>
      </c>
      <c r="K77" s="25">
        <f>OpsLow</f>
        <v/>
      </c>
      <c r="L77" s="25">
        <f>OpsLow</f>
        <v/>
      </c>
      <c r="M77" s="25">
        <f>OpsLow</f>
        <v/>
      </c>
      <c r="N77" s="25">
        <f>OpsLow</f>
        <v/>
      </c>
      <c r="O77" s="25">
        <f>OpsLow</f>
        <v/>
      </c>
    </row>
    <row r="78">
      <c r="B78" s="14" t="inlineStr">
        <is>
          <t>Incremental CM (ramp, 0 in install window)</t>
        </is>
      </c>
      <c r="C78" s="25">
        <f>0</f>
        <v/>
      </c>
      <c r="D78" s="25">
        <f>0</f>
        <v/>
      </c>
      <c r="E78" s="25">
        <f>0</f>
        <v/>
      </c>
      <c r="F78" s="25">
        <f>IncMed</f>
        <v/>
      </c>
      <c r="G78" s="25">
        <f>IncMed</f>
        <v/>
      </c>
      <c r="H78" s="25">
        <f>IncMed</f>
        <v/>
      </c>
      <c r="I78" s="25">
        <f>IncMed</f>
        <v/>
      </c>
      <c r="J78" s="25">
        <f>IncMed</f>
        <v/>
      </c>
      <c r="K78" s="25">
        <f>IncMed</f>
        <v/>
      </c>
      <c r="L78" s="25">
        <f>IncMed</f>
        <v/>
      </c>
      <c r="M78" s="25">
        <f>IncMed</f>
        <v/>
      </c>
      <c r="N78" s="25">
        <f>IncMed</f>
        <v/>
      </c>
      <c r="O78" s="25">
        <f>IncMed</f>
        <v/>
      </c>
    </row>
    <row r="79">
      <c r="B79" s="10" t="inlineStr">
        <is>
          <t>Total receipts</t>
        </is>
      </c>
      <c r="C79" s="26">
        <f>C77+C78</f>
        <v/>
      </c>
      <c r="D79" s="26">
        <f>D77+D78</f>
        <v/>
      </c>
      <c r="E79" s="26">
        <f>E77+E78</f>
        <v/>
      </c>
      <c r="F79" s="26">
        <f>F77+F78</f>
        <v/>
      </c>
      <c r="G79" s="26">
        <f>G77+G78</f>
        <v/>
      </c>
      <c r="H79" s="26">
        <f>H77+H78</f>
        <v/>
      </c>
      <c r="I79" s="26">
        <f>I77+I78</f>
        <v/>
      </c>
      <c r="J79" s="26">
        <f>J77+J78</f>
        <v/>
      </c>
      <c r="K79" s="26">
        <f>K77+K78</f>
        <v/>
      </c>
      <c r="L79" s="26">
        <f>L77+L78</f>
        <v/>
      </c>
      <c r="M79" s="26">
        <f>M77+M78</f>
        <v/>
      </c>
      <c r="N79" s="26">
        <f>N77+N78</f>
        <v/>
      </c>
      <c r="O79" s="26">
        <f>O77+O78</f>
        <v/>
      </c>
    </row>
    <row r="80">
      <c r="B80" s="14" t="inlineStr">
        <is>
          <t>Owner weekly draw (personal)</t>
        </is>
      </c>
      <c r="C80" s="25">
        <f>-OwnerDraw</f>
        <v/>
      </c>
      <c r="D80" s="25">
        <f>-OwnerDraw</f>
        <v/>
      </c>
      <c r="E80" s="25">
        <f>-OwnerDraw</f>
        <v/>
      </c>
      <c r="F80" s="25">
        <f>-OwnerDraw</f>
        <v/>
      </c>
      <c r="G80" s="25">
        <f>-OwnerDraw</f>
        <v/>
      </c>
      <c r="H80" s="25">
        <f>-OwnerDraw</f>
        <v/>
      </c>
      <c r="I80" s="25">
        <f>-OwnerDraw</f>
        <v/>
      </c>
      <c r="J80" s="25">
        <f>-OwnerDraw</f>
        <v/>
      </c>
      <c r="K80" s="25">
        <f>-OwnerDraw</f>
        <v/>
      </c>
      <c r="L80" s="25">
        <f>-OwnerDraw</f>
        <v/>
      </c>
      <c r="M80" s="25">
        <f>-OwnerDraw</f>
        <v/>
      </c>
      <c r="N80" s="25">
        <f>-OwnerDraw</f>
        <v/>
      </c>
      <c r="O80" s="25">
        <f>-OwnerDraw</f>
        <v/>
      </c>
    </row>
    <row r="81">
      <c r="B81" s="14" t="inlineStr">
        <is>
          <t>Repositioning capex (C_st, Wk 1)</t>
        </is>
      </c>
      <c r="C81" s="25">
        <f>-(CapexPlanA)</f>
        <v/>
      </c>
      <c r="D81" s="25">
        <f>0</f>
        <v/>
      </c>
      <c r="E81" s="25">
        <f>0</f>
        <v/>
      </c>
      <c r="F81" s="25">
        <f>0</f>
        <v/>
      </c>
      <c r="G81" s="25">
        <f>0</f>
        <v/>
      </c>
      <c r="H81" s="25">
        <f>0</f>
        <v/>
      </c>
      <c r="I81" s="25">
        <f>0</f>
        <v/>
      </c>
      <c r="J81" s="25">
        <f>0</f>
        <v/>
      </c>
      <c r="K81" s="25">
        <f>0</f>
        <v/>
      </c>
      <c r="L81" s="25">
        <f>0</f>
        <v/>
      </c>
      <c r="M81" s="25">
        <f>0</f>
        <v/>
      </c>
      <c r="N81" s="25">
        <f>0</f>
        <v/>
      </c>
      <c r="O81" s="25">
        <f>0</f>
        <v/>
      </c>
    </row>
    <row r="82">
      <c r="B82" s="14" t="inlineStr">
        <is>
          <t>Loan draw (C_st, Wk 1)</t>
        </is>
      </c>
      <c r="C82" s="25">
        <f>LoanPlanC</f>
        <v/>
      </c>
      <c r="D82" s="25">
        <f>0</f>
        <v/>
      </c>
      <c r="E82" s="25">
        <f>0</f>
        <v/>
      </c>
      <c r="F82" s="25">
        <f>0</f>
        <v/>
      </c>
      <c r="G82" s="25">
        <f>0</f>
        <v/>
      </c>
      <c r="H82" s="25">
        <f>0</f>
        <v/>
      </c>
      <c r="I82" s="25">
        <f>0</f>
        <v/>
      </c>
      <c r="J82" s="25">
        <f>0</f>
        <v/>
      </c>
      <c r="K82" s="25">
        <f>0</f>
        <v/>
      </c>
      <c r="L82" s="25">
        <f>0</f>
        <v/>
      </c>
      <c r="M82" s="25">
        <f>0</f>
        <v/>
      </c>
      <c r="N82" s="25">
        <f>0</f>
        <v/>
      </c>
      <c r="O82" s="25">
        <f>0</f>
        <v/>
      </c>
    </row>
    <row r="83">
      <c r="B83" s="14" t="inlineStr">
        <is>
          <t>Weekly debt service (P+I)</t>
        </is>
      </c>
      <c r="C83" s="25">
        <f>(-PMT(LoanAPR60/52,260,-LoanPlanC))</f>
        <v/>
      </c>
      <c r="D83" s="25">
        <f>(-PMT(LoanAPR60/52,260,-LoanPlanC))</f>
        <v/>
      </c>
      <c r="E83" s="25">
        <f>(-PMT(LoanAPR60/52,260,-LoanPlanC))</f>
        <v/>
      </c>
      <c r="F83" s="25">
        <f>(-PMT(LoanAPR60/52,260,-LoanPlanC))</f>
        <v/>
      </c>
      <c r="G83" s="25">
        <f>(-PMT(LoanAPR60/52,260,-LoanPlanC))</f>
        <v/>
      </c>
      <c r="H83" s="25">
        <f>(-PMT(LoanAPR60/52,260,-LoanPlanC))</f>
        <v/>
      </c>
      <c r="I83" s="25">
        <f>(-PMT(LoanAPR60/52,260,-LoanPlanC))</f>
        <v/>
      </c>
      <c r="J83" s="25">
        <f>(-PMT(LoanAPR60/52,260,-LoanPlanC))</f>
        <v/>
      </c>
      <c r="K83" s="25">
        <f>(-PMT(LoanAPR60/52,260,-LoanPlanC))</f>
        <v/>
      </c>
      <c r="L83" s="25">
        <f>(-PMT(LoanAPR60/52,260,-LoanPlanC))</f>
        <v/>
      </c>
      <c r="M83" s="25">
        <f>(-PMT(LoanAPR60/52,260,-LoanPlanC))</f>
        <v/>
      </c>
      <c r="N83" s="25">
        <f>(-PMT(LoanAPR60/52,260,-LoanPlanC))</f>
        <v/>
      </c>
      <c r="O83" s="25">
        <f>(-PMT(LoanAPR60/52,260,-LoanPlanC))</f>
        <v/>
      </c>
    </row>
    <row r="84">
      <c r="B84" s="10" t="inlineStr">
        <is>
          <t>Net cash flow this week</t>
        </is>
      </c>
      <c r="C84" s="24">
        <f>C79+C80+C81+C82+C83</f>
        <v/>
      </c>
      <c r="D84" s="24">
        <f>D79+D80+D81+D82+D83</f>
        <v/>
      </c>
      <c r="E84" s="24">
        <f>E79+E80+E81+E82+E83</f>
        <v/>
      </c>
      <c r="F84" s="24">
        <f>F79+F80+F81+F82+F83</f>
        <v/>
      </c>
      <c r="G84" s="24">
        <f>G79+G80+G81+G82+G83</f>
        <v/>
      </c>
      <c r="H84" s="24">
        <f>H79+H80+H81+H82+H83</f>
        <v/>
      </c>
      <c r="I84" s="24">
        <f>I79+I80+I81+I82+I83</f>
        <v/>
      </c>
      <c r="J84" s="24">
        <f>J79+J80+J81+J82+J83</f>
        <v/>
      </c>
      <c r="K84" s="24">
        <f>K79+K80+K81+K82+K83</f>
        <v/>
      </c>
      <c r="L84" s="24">
        <f>L79+L80+L81+L82+L83</f>
        <v/>
      </c>
      <c r="M84" s="24">
        <f>M79+M80+M81+M82+M83</f>
        <v/>
      </c>
      <c r="N84" s="24">
        <f>N79+N80+N81+N82+N83</f>
        <v/>
      </c>
      <c r="O84" s="24">
        <f>O79+O80+O81+O82+O83</f>
        <v/>
      </c>
    </row>
    <row r="85">
      <c r="B85" s="10" t="inlineStr">
        <is>
          <t>Beginning cash</t>
        </is>
      </c>
      <c r="C85" s="26">
        <f>CashOnHand</f>
        <v/>
      </c>
      <c r="D85" s="26">
        <f>C72</f>
        <v/>
      </c>
      <c r="E85" s="26">
        <f>D72</f>
        <v/>
      </c>
      <c r="F85" s="26">
        <f>E72</f>
        <v/>
      </c>
      <c r="G85" s="26">
        <f>F72</f>
        <v/>
      </c>
      <c r="H85" s="26">
        <f>G72</f>
        <v/>
      </c>
      <c r="I85" s="26">
        <f>H72</f>
        <v/>
      </c>
      <c r="J85" s="26">
        <f>I72</f>
        <v/>
      </c>
      <c r="K85" s="26">
        <f>J72</f>
        <v/>
      </c>
      <c r="L85" s="26">
        <f>K72</f>
        <v/>
      </c>
      <c r="M85" s="26">
        <f>L72</f>
        <v/>
      </c>
      <c r="N85" s="26">
        <f>M72</f>
        <v/>
      </c>
      <c r="O85" s="26">
        <f>N72</f>
        <v/>
      </c>
    </row>
    <row r="86">
      <c r="B86" s="10" t="inlineStr">
        <is>
          <t>Ending cash</t>
        </is>
      </c>
      <c r="C86" s="24">
        <f>C85+C84</f>
        <v/>
      </c>
      <c r="D86" s="24">
        <f>D85+D84</f>
        <v/>
      </c>
      <c r="E86" s="24">
        <f>E85+E84</f>
        <v/>
      </c>
      <c r="F86" s="24">
        <f>F85+F84</f>
        <v/>
      </c>
      <c r="G86" s="24">
        <f>G85+G84</f>
        <v/>
      </c>
      <c r="H86" s="24">
        <f>H85+H84</f>
        <v/>
      </c>
      <c r="I86" s="24">
        <f>I85+I84</f>
        <v/>
      </c>
      <c r="J86" s="24">
        <f>J85+J84</f>
        <v/>
      </c>
      <c r="K86" s="24">
        <f>K85+K84</f>
        <v/>
      </c>
      <c r="L86" s="24">
        <f>L85+L84</f>
        <v/>
      </c>
      <c r="M86" s="24">
        <f>M85+M84</f>
        <v/>
      </c>
      <c r="N86" s="24">
        <f>N85+N84</f>
        <v/>
      </c>
      <c r="O86" s="24">
        <f>O85+O84</f>
        <v/>
      </c>
    </row>
    <row r="87">
      <c r="B87" s="10" t="inlineStr">
        <is>
          <t>Minimum cash over horizon</t>
        </is>
      </c>
      <c r="C87" s="26">
        <f>MIN(C86:O86)</f>
        <v/>
      </c>
    </row>
    <row r="88">
      <c r="B88" s="10" t="inlineStr">
        <is>
          <t>First week ending cash goes negative</t>
        </is>
      </c>
      <c r="C88" s="10">
        <f>IF(MIN(C86:O86)&gt;=0,"No negative week","Wk "&amp;(MATCH(TRUE,INDEX(C86:O86&lt;0,0),0)))</f>
        <v/>
      </c>
    </row>
    <row r="90">
      <c r="B90" s="6" t="inlineStr">
        <is>
          <t>All weekly numbers are formulas. The Min-cash and First-negative-week cells under each block tell you how much cushion the plan has under each scenario. The Breakeven sheet gives the repayment payback view; the Trade_Off sheet quantifies wait vs. borrow-on.</t>
        </is>
      </c>
    </row>
    <row r="91"/>
    <row r="92"/>
  </sheetData>
  <mergeCells count="10">
    <mergeCell ref="B1:O1"/>
    <mergeCell ref="B90:O92"/>
    <mergeCell ref="B47:O47"/>
    <mergeCell ref="B48:O48"/>
    <mergeCell ref="B2:O2"/>
    <mergeCell ref="B62:O62"/>
    <mergeCell ref="B33:O33"/>
    <mergeCell ref="B19:O19"/>
    <mergeCell ref="B5:O5"/>
    <mergeCell ref="B76:O76"/>
  </mergeCells>
  <pageMargins left="0.7" right="0.7" top="0.75" bottom="0.75" header="0.3" footer="0.3"/>
</worksheet>
</file>

<file path=xl/worksheets/sheet4.xml><?xml version="1.0" encoding="utf-8"?>
<worksheet xmlns="http://schemas.openxmlformats.org/spreadsheetml/2006/main">
  <sheetPr>
    <tabColor rgb="FF7030A0"/>
    <outlinePr summaryBelow="1" summaryRight="1"/>
    <pageSetUpPr/>
  </sheetPr>
  <dimension ref="B1:F42"/>
  <sheetViews>
    <sheetView workbookViewId="0">
      <selection activeCell="A1" sqref="A1"/>
    </sheetView>
  </sheetViews>
  <sheetFormatPr baseColWidth="8" defaultRowHeight="15"/>
  <cols>
    <col width="2.7109375" customWidth="1" min="1" max="1"/>
    <col width="30.7109375" customWidth="1" min="2" max="2"/>
    <col width="14.7109375" customWidth="1" min="3" max="6"/>
  </cols>
  <sheetData>
    <row r="1">
      <c r="B1" s="1" t="inlineStr">
        <is>
          <t>Debt Service Schedule (60 months = 260 weeks)</t>
        </is>
      </c>
    </row>
    <row r="2">
      <c r="B2" s="2" t="inlineStr">
        <is>
          <t>Standard amortizing loan. Interest = prior balance x weekly rate. Balance carried forward BY FORMULA. The first 13 weekly rows are shown here; the total interest and total repayable use PMT directly.</t>
        </is>
      </c>
    </row>
    <row r="4" ht="28" customHeight="1">
      <c r="B4" s="9" t="inlineStr">
        <is>
          <t>Period</t>
        </is>
      </c>
      <c r="C4" s="9" t="inlineStr">
        <is>
          <t>Opening balance</t>
        </is>
      </c>
      <c r="D4" s="9" t="inlineStr">
        <is>
          <t>Payment (P+I)</t>
        </is>
      </c>
      <c r="E4" s="9" t="inlineStr">
        <is>
          <t>Interest</t>
        </is>
      </c>
      <c r="F4" s="9" t="inlineStr">
        <is>
          <t>Closing balance</t>
        </is>
      </c>
    </row>
    <row r="5">
      <c r="B5" s="3" t="inlineStr">
        <is>
          <t>Plan B: $100k drawn Week 1; 60 months; 7.62% APR</t>
        </is>
      </c>
      <c r="C5" s="20" t="n"/>
      <c r="D5" s="20" t="n"/>
      <c r="E5" s="20" t="n"/>
      <c r="F5" s="21" t="n"/>
    </row>
    <row r="6">
      <c r="B6" s="4" t="inlineStr">
        <is>
          <t>Wk 1</t>
        </is>
      </c>
      <c r="C6" s="25">
        <f>LoanPlanB</f>
        <v/>
      </c>
      <c r="D6" s="25">
        <f>(-PMT(LoanAPR60/52,260,-LoanPlanB))</f>
        <v/>
      </c>
      <c r="E6" s="25">
        <f>C6*LoanAPR60/52</f>
        <v/>
      </c>
      <c r="F6" s="25">
        <f>C6-D6+E6</f>
        <v/>
      </c>
    </row>
    <row r="7">
      <c r="B7" s="4" t="inlineStr">
        <is>
          <t>Wk 2</t>
        </is>
      </c>
      <c r="C7" s="25">
        <f>F6</f>
        <v/>
      </c>
      <c r="D7" s="25">
        <f>(-PMT(LoanAPR60/52,260,-LoanPlanB))</f>
        <v/>
      </c>
      <c r="E7" s="25">
        <f>C7*LoanAPR60/52</f>
        <v/>
      </c>
      <c r="F7" s="25">
        <f>C7-D7+E7</f>
        <v/>
      </c>
    </row>
    <row r="8">
      <c r="B8" s="4" t="inlineStr">
        <is>
          <t>Wk 3</t>
        </is>
      </c>
      <c r="C8" s="25">
        <f>F7</f>
        <v/>
      </c>
      <c r="D8" s="25">
        <f>(-PMT(LoanAPR60/52,260,-LoanPlanB))</f>
        <v/>
      </c>
      <c r="E8" s="25">
        <f>C8*LoanAPR60/52</f>
        <v/>
      </c>
      <c r="F8" s="25">
        <f>C8-D8+E8</f>
        <v/>
      </c>
    </row>
    <row r="9">
      <c r="B9" s="4" t="inlineStr">
        <is>
          <t>Wk 4</t>
        </is>
      </c>
      <c r="C9" s="25">
        <f>F8</f>
        <v/>
      </c>
      <c r="D9" s="25">
        <f>(-PMT(LoanAPR60/52,260,-LoanPlanB))</f>
        <v/>
      </c>
      <c r="E9" s="25">
        <f>C9*LoanAPR60/52</f>
        <v/>
      </c>
      <c r="F9" s="25">
        <f>C9-D9+E9</f>
        <v/>
      </c>
    </row>
    <row r="10">
      <c r="B10" s="4" t="inlineStr">
        <is>
          <t>Wk 5</t>
        </is>
      </c>
      <c r="C10" s="25">
        <f>F9</f>
        <v/>
      </c>
      <c r="D10" s="25">
        <f>(-PMT(LoanAPR60/52,260,-LoanPlanB))</f>
        <v/>
      </c>
      <c r="E10" s="25">
        <f>C10*LoanAPR60/52</f>
        <v/>
      </c>
      <c r="F10" s="25">
        <f>C10-D10+E10</f>
        <v/>
      </c>
    </row>
    <row r="11">
      <c r="B11" s="4" t="inlineStr">
        <is>
          <t>Wk 6</t>
        </is>
      </c>
      <c r="C11" s="25">
        <f>F10</f>
        <v/>
      </c>
      <c r="D11" s="25">
        <f>(-PMT(LoanAPR60/52,260,-LoanPlanB))</f>
        <v/>
      </c>
      <c r="E11" s="25">
        <f>C11*LoanAPR60/52</f>
        <v/>
      </c>
      <c r="F11" s="25">
        <f>C11-D11+E11</f>
        <v/>
      </c>
    </row>
    <row r="12">
      <c r="B12" s="4" t="inlineStr">
        <is>
          <t>Wk 7</t>
        </is>
      </c>
      <c r="C12" s="25">
        <f>F11</f>
        <v/>
      </c>
      <c r="D12" s="25">
        <f>(-PMT(LoanAPR60/52,260,-LoanPlanB))</f>
        <v/>
      </c>
      <c r="E12" s="25">
        <f>C12*LoanAPR60/52</f>
        <v/>
      </c>
      <c r="F12" s="25">
        <f>C12-D12+E12</f>
        <v/>
      </c>
    </row>
    <row r="13">
      <c r="B13" s="4" t="inlineStr">
        <is>
          <t>Wk 8</t>
        </is>
      </c>
      <c r="C13" s="25">
        <f>F12</f>
        <v/>
      </c>
      <c r="D13" s="25">
        <f>(-PMT(LoanAPR60/52,260,-LoanPlanB))</f>
        <v/>
      </c>
      <c r="E13" s="25">
        <f>C13*LoanAPR60/52</f>
        <v/>
      </c>
      <c r="F13" s="25">
        <f>C13-D13+E13</f>
        <v/>
      </c>
    </row>
    <row r="14">
      <c r="B14" s="4" t="inlineStr">
        <is>
          <t>Wk 9</t>
        </is>
      </c>
      <c r="C14" s="25">
        <f>F13</f>
        <v/>
      </c>
      <c r="D14" s="25">
        <f>(-PMT(LoanAPR60/52,260,-LoanPlanB))</f>
        <v/>
      </c>
      <c r="E14" s="25">
        <f>C14*LoanAPR60/52</f>
        <v/>
      </c>
      <c r="F14" s="25">
        <f>C14-D14+E14</f>
        <v/>
      </c>
    </row>
    <row r="15">
      <c r="B15" s="4" t="inlineStr">
        <is>
          <t>Wk 10</t>
        </is>
      </c>
      <c r="C15" s="25">
        <f>F14</f>
        <v/>
      </c>
      <c r="D15" s="25">
        <f>(-PMT(LoanAPR60/52,260,-LoanPlanB))</f>
        <v/>
      </c>
      <c r="E15" s="25">
        <f>C15*LoanAPR60/52</f>
        <v/>
      </c>
      <c r="F15" s="25">
        <f>C15-D15+E15</f>
        <v/>
      </c>
    </row>
    <row r="16">
      <c r="B16" s="4" t="inlineStr">
        <is>
          <t>Wk 11</t>
        </is>
      </c>
      <c r="C16" s="25">
        <f>F15</f>
        <v/>
      </c>
      <c r="D16" s="25">
        <f>(-PMT(LoanAPR60/52,260,-LoanPlanB))</f>
        <v/>
      </c>
      <c r="E16" s="25">
        <f>C16*LoanAPR60/52</f>
        <v/>
      </c>
      <c r="F16" s="25">
        <f>C16-D16+E16</f>
        <v/>
      </c>
    </row>
    <row r="17">
      <c r="B17" s="4" t="inlineStr">
        <is>
          <t>Wk 12</t>
        </is>
      </c>
      <c r="C17" s="25">
        <f>F16</f>
        <v/>
      </c>
      <c r="D17" s="25">
        <f>(-PMT(LoanAPR60/52,260,-LoanPlanB))</f>
        <v/>
      </c>
      <c r="E17" s="25">
        <f>C17*LoanAPR60/52</f>
        <v/>
      </c>
      <c r="F17" s="25">
        <f>C17-D17+E17</f>
        <v/>
      </c>
    </row>
    <row r="18">
      <c r="B18" s="4" t="inlineStr">
        <is>
          <t>Wk 13</t>
        </is>
      </c>
      <c r="C18" s="25">
        <f>F17</f>
        <v/>
      </c>
      <c r="D18" s="25">
        <f>(-PMT(LoanAPR60/52,260,-LoanPlanB))</f>
        <v/>
      </c>
      <c r="E18" s="25">
        <f>C18*LoanAPR60/52</f>
        <v/>
      </c>
      <c r="F18" s="25">
        <f>C18-D18+E18</f>
        <v/>
      </c>
    </row>
    <row r="19">
      <c r="B19" s="10" t="inlineStr">
        <is>
          <t>Total over 60 months</t>
        </is>
      </c>
      <c r="D19" s="26">
        <f>SUM(D6:D18)</f>
        <v/>
      </c>
      <c r="E19" s="26">
        <f>SUM(E6:E18)</f>
        <v/>
      </c>
      <c r="F19" s="26">
        <f>(-PMT(LoanAPR60/52,260,-LoanPlanB)*260) - LoanPlanB</f>
        <v/>
      </c>
    </row>
    <row r="21">
      <c r="B21" s="3" t="inlineStr">
        <is>
          <t>Plan C: $200k drawn Week 1; 60 months; 7.62% APR</t>
        </is>
      </c>
      <c r="C21" s="20" t="n"/>
      <c r="D21" s="20" t="n"/>
      <c r="E21" s="20" t="n"/>
      <c r="F21" s="21" t="n"/>
    </row>
    <row r="22">
      <c r="B22" s="4" t="inlineStr">
        <is>
          <t>Wk 1</t>
        </is>
      </c>
      <c r="C22" s="25">
        <f>LoanPlanC</f>
        <v/>
      </c>
      <c r="D22" s="25">
        <f>(-PMT(LoanAPR60/52,260,-LoanPlanC))</f>
        <v/>
      </c>
      <c r="E22" s="25">
        <f>C22*LoanAPR60/52</f>
        <v/>
      </c>
      <c r="F22" s="25">
        <f>C22-D22+E22</f>
        <v/>
      </c>
    </row>
    <row r="23">
      <c r="B23" s="4" t="inlineStr">
        <is>
          <t>Wk 2</t>
        </is>
      </c>
      <c r="C23" s="25">
        <f>F22</f>
        <v/>
      </c>
      <c r="D23" s="25">
        <f>(-PMT(LoanAPR60/52,260,-LoanPlanC))</f>
        <v/>
      </c>
      <c r="E23" s="25">
        <f>C23*LoanAPR60/52</f>
        <v/>
      </c>
      <c r="F23" s="25">
        <f>C23-D23+E23</f>
        <v/>
      </c>
    </row>
    <row r="24">
      <c r="B24" s="4" t="inlineStr">
        <is>
          <t>Wk 3</t>
        </is>
      </c>
      <c r="C24" s="25">
        <f>F23</f>
        <v/>
      </c>
      <c r="D24" s="25">
        <f>(-PMT(LoanAPR60/52,260,-LoanPlanC))</f>
        <v/>
      </c>
      <c r="E24" s="25">
        <f>C24*LoanAPR60/52</f>
        <v/>
      </c>
      <c r="F24" s="25">
        <f>C24-D24+E24</f>
        <v/>
      </c>
    </row>
    <row r="25">
      <c r="B25" s="4" t="inlineStr">
        <is>
          <t>Wk 4</t>
        </is>
      </c>
      <c r="C25" s="25">
        <f>F24</f>
        <v/>
      </c>
      <c r="D25" s="25">
        <f>(-PMT(LoanAPR60/52,260,-LoanPlanC))</f>
        <v/>
      </c>
      <c r="E25" s="25">
        <f>C25*LoanAPR60/52</f>
        <v/>
      </c>
      <c r="F25" s="25">
        <f>C25-D25+E25</f>
        <v/>
      </c>
    </row>
    <row r="26">
      <c r="B26" s="4" t="inlineStr">
        <is>
          <t>Wk 5</t>
        </is>
      </c>
      <c r="C26" s="25">
        <f>F25</f>
        <v/>
      </c>
      <c r="D26" s="25">
        <f>(-PMT(LoanAPR60/52,260,-LoanPlanC))</f>
        <v/>
      </c>
      <c r="E26" s="25">
        <f>C26*LoanAPR60/52</f>
        <v/>
      </c>
      <c r="F26" s="25">
        <f>C26-D26+E26</f>
        <v/>
      </c>
    </row>
    <row r="27">
      <c r="B27" s="4" t="inlineStr">
        <is>
          <t>Wk 6</t>
        </is>
      </c>
      <c r="C27" s="25">
        <f>F26</f>
        <v/>
      </c>
      <c r="D27" s="25">
        <f>(-PMT(LoanAPR60/52,260,-LoanPlanC))</f>
        <v/>
      </c>
      <c r="E27" s="25">
        <f>C27*LoanAPR60/52</f>
        <v/>
      </c>
      <c r="F27" s="25">
        <f>C27-D27+E27</f>
        <v/>
      </c>
    </row>
    <row r="28">
      <c r="B28" s="4" t="inlineStr">
        <is>
          <t>Wk 7</t>
        </is>
      </c>
      <c r="C28" s="25">
        <f>F27</f>
        <v/>
      </c>
      <c r="D28" s="25">
        <f>(-PMT(LoanAPR60/52,260,-LoanPlanC))</f>
        <v/>
      </c>
      <c r="E28" s="25">
        <f>C28*LoanAPR60/52</f>
        <v/>
      </c>
      <c r="F28" s="25">
        <f>C28-D28+E28</f>
        <v/>
      </c>
    </row>
    <row r="29">
      <c r="B29" s="4" t="inlineStr">
        <is>
          <t>Wk 8</t>
        </is>
      </c>
      <c r="C29" s="25">
        <f>F28</f>
        <v/>
      </c>
      <c r="D29" s="25">
        <f>(-PMT(LoanAPR60/52,260,-LoanPlanC))</f>
        <v/>
      </c>
      <c r="E29" s="25">
        <f>C29*LoanAPR60/52</f>
        <v/>
      </c>
      <c r="F29" s="25">
        <f>C29-D29+E29</f>
        <v/>
      </c>
    </row>
    <row r="30">
      <c r="B30" s="4" t="inlineStr">
        <is>
          <t>Wk 9</t>
        </is>
      </c>
      <c r="C30" s="25">
        <f>F29</f>
        <v/>
      </c>
      <c r="D30" s="25">
        <f>(-PMT(LoanAPR60/52,260,-LoanPlanC))</f>
        <v/>
      </c>
      <c r="E30" s="25">
        <f>C30*LoanAPR60/52</f>
        <v/>
      </c>
      <c r="F30" s="25">
        <f>C30-D30+E30</f>
        <v/>
      </c>
    </row>
    <row r="31">
      <c r="B31" s="4" t="inlineStr">
        <is>
          <t>Wk 10</t>
        </is>
      </c>
      <c r="C31" s="25">
        <f>F30</f>
        <v/>
      </c>
      <c r="D31" s="25">
        <f>(-PMT(LoanAPR60/52,260,-LoanPlanC))</f>
        <v/>
      </c>
      <c r="E31" s="25">
        <f>C31*LoanAPR60/52</f>
        <v/>
      </c>
      <c r="F31" s="25">
        <f>C31-D31+E31</f>
        <v/>
      </c>
    </row>
    <row r="32">
      <c r="B32" s="4" t="inlineStr">
        <is>
          <t>Wk 11</t>
        </is>
      </c>
      <c r="C32" s="25">
        <f>F31</f>
        <v/>
      </c>
      <c r="D32" s="25">
        <f>(-PMT(LoanAPR60/52,260,-LoanPlanC))</f>
        <v/>
      </c>
      <c r="E32" s="25">
        <f>C32*LoanAPR60/52</f>
        <v/>
      </c>
      <c r="F32" s="25">
        <f>C32-D32+E32</f>
        <v/>
      </c>
    </row>
    <row r="33">
      <c r="B33" s="4" t="inlineStr">
        <is>
          <t>Wk 12</t>
        </is>
      </c>
      <c r="C33" s="25">
        <f>F32</f>
        <v/>
      </c>
      <c r="D33" s="25">
        <f>(-PMT(LoanAPR60/52,260,-LoanPlanC))</f>
        <v/>
      </c>
      <c r="E33" s="25">
        <f>C33*LoanAPR60/52</f>
        <v/>
      </c>
      <c r="F33" s="25">
        <f>C33-D33+E33</f>
        <v/>
      </c>
    </row>
    <row r="34">
      <c r="B34" s="4" t="inlineStr">
        <is>
          <t>Wk 13</t>
        </is>
      </c>
      <c r="C34" s="25">
        <f>F33</f>
        <v/>
      </c>
      <c r="D34" s="25">
        <f>(-PMT(LoanAPR60/52,260,-LoanPlanC))</f>
        <v/>
      </c>
      <c r="E34" s="25">
        <f>C34*LoanAPR60/52</f>
        <v/>
      </c>
      <c r="F34" s="25">
        <f>C34-D34+E34</f>
        <v/>
      </c>
    </row>
    <row r="35">
      <c r="B35" s="10" t="inlineStr">
        <is>
          <t>Total over 60 months</t>
        </is>
      </c>
      <c r="D35" s="26">
        <f>SUM(D22:D34)</f>
        <v/>
      </c>
      <c r="E35" s="26">
        <f>SUM(E22:E34)</f>
        <v/>
      </c>
      <c r="F35" s="26">
        <f>(-PMT(LoanAPR60/52,260,-LoanPlanC)*260) - LoanPlanC</f>
        <v/>
      </c>
    </row>
    <row r="37">
      <c r="B37" s="3" t="inlineStr">
        <is>
          <t>Sensitivity: Plan B weekly P+I at +/- 150 bps rate band</t>
        </is>
      </c>
      <c r="C37" s="20" t="n"/>
      <c r="D37" s="20" t="n"/>
      <c r="E37" s="20" t="n"/>
      <c r="F37" s="21" t="n"/>
    </row>
    <row r="38">
      <c r="B38" s="9" t="inlineStr">
        <is>
          <t>Rate scenario</t>
        </is>
      </c>
      <c r="C38" s="9" t="inlineStr">
        <is>
          <t>Loan amount</t>
        </is>
      </c>
      <c r="D38" s="9" t="inlineStr">
        <is>
          <t>Weekly P+I</t>
        </is>
      </c>
      <c r="E38" s="9" t="inlineStr">
        <is>
          <t>Monthly P+I</t>
        </is>
      </c>
      <c r="F38" s="9" t="inlineStr">
        <is>
          <t>Total interest (60 mo)</t>
        </is>
      </c>
    </row>
    <row r="39">
      <c r="B39" s="4" t="inlineStr">
        <is>
          <t>LOW rate band (5.97%)</t>
        </is>
      </c>
      <c r="C39" s="25">
        <f>LoanPlanB</f>
        <v/>
      </c>
      <c r="D39" s="25">
        <f>(-PMT(LoanRateLow/52,260,-LoanPlanB))</f>
        <v/>
      </c>
      <c r="E39" s="25">
        <f>(-PMT(LoanRateLow/52,260,-LoanPlanB))*52/12</f>
        <v/>
      </c>
      <c r="F39" s="26">
        <f>(-PMT(LoanRateLow/52,260,-LoanPlanB)*260) - LoanPlanB</f>
        <v/>
      </c>
    </row>
    <row r="40">
      <c r="B40" s="4" t="inlineStr">
        <is>
          <t>Base case (7.62%)</t>
        </is>
      </c>
      <c r="C40" s="25">
        <f>LoanPlanB</f>
        <v/>
      </c>
      <c r="D40" s="25">
        <f>(-PMT(LoanAPR60/52,260,-LoanPlanB))</f>
        <v/>
      </c>
      <c r="E40" s="25">
        <f>(-PMT(LoanAPR60/52,260,-LoanPlanB))*52/12</f>
        <v/>
      </c>
      <c r="F40" s="26">
        <f>(-PMT(LoanAPR60/52,260,-LoanPlanB)*260) - LoanPlanB</f>
        <v/>
      </c>
    </row>
    <row r="41">
      <c r="B41" s="4" t="inlineStr">
        <is>
          <t>HIGH rate band (8.97%)</t>
        </is>
      </c>
      <c r="C41" s="25">
        <f>LoanPlanB</f>
        <v/>
      </c>
      <c r="D41" s="25">
        <f>(-PMT(LoanRateHigh/52,260,-LoanPlanB))</f>
        <v/>
      </c>
      <c r="E41" s="25">
        <f>(-PMT(LoanRateHigh/52,260,-LoanPlanB))*52/12</f>
        <v/>
      </c>
      <c r="F41" s="26">
        <f>(-PMT(LoanRateHigh/52,260,-LoanPlanB)*260) - LoanPlanB</f>
        <v/>
      </c>
    </row>
    <row r="42">
      <c r="B42" s="6" t="inlineStr">
        <is>
          <t>Total interest is the loan-life cost of debt, before any tax shield. Small-business interest expense is typically deductible against ordinary income -- consult your CPA on the partnership mechanics.</t>
        </is>
      </c>
    </row>
  </sheetData>
  <mergeCells count="6">
    <mergeCell ref="B21:F21"/>
    <mergeCell ref="B2:F2"/>
    <mergeCell ref="B42:F42"/>
    <mergeCell ref="B5:F5"/>
    <mergeCell ref="B37:F37"/>
    <mergeCell ref="B1:F1"/>
  </mergeCells>
  <pageMargins left="0.7" right="0.7" top="0.75" bottom="0.75" header="0.3" footer="0.3"/>
</worksheet>
</file>

<file path=xl/worksheets/sheet5.xml><?xml version="1.0" encoding="utf-8"?>
<worksheet xmlns="http://schemas.openxmlformats.org/spreadsheetml/2006/main">
  <sheetPr>
    <tabColor rgb="FF00B050"/>
    <outlinePr summaryBelow="1" summaryRight="1"/>
    <pageSetUpPr/>
  </sheetPr>
  <dimension ref="B1:F20"/>
  <sheetViews>
    <sheetView workbookViewId="0">
      <pane xSplit="2" ySplit="4" topLeftCell="C5" activePane="bottomRight" state="frozen"/>
      <selection pane="topRight" activeCell="C1" sqref="C1"/>
      <selection pane="bottomLeft" activeCell="A5" sqref="A5"/>
      <selection pane="bottomRight" activeCell="A1" sqref="A1"/>
    </sheetView>
  </sheetViews>
  <sheetFormatPr baseColWidth="8" defaultRowHeight="15"/>
  <cols>
    <col width="2.7109375" customWidth="1" min="1" max="1"/>
    <col width="32.7109375" customWidth="1" min="2" max="2"/>
    <col width="18.7109375" customWidth="1" min="3" max="6"/>
  </cols>
  <sheetData>
    <row r="1">
      <c r="B1" s="1" t="inlineStr">
        <is>
          <t>Repositioning Breakeven Analysis</t>
        </is>
      </c>
    </row>
    <row r="2">
      <c r="B2" s="2" t="inlineStr">
        <is>
          <t>Payback = capex deployed / incremental weekly CM, with a 3-week installation/commissioning window. Simple payback, not discounted. The w/interest block adds total loan interest as an additional hurdle.</t>
        </is>
      </c>
    </row>
    <row r="3">
      <c r="B3" s="6" t="inlineStr">
        <is>
          <t>Units: Capex in dollars, break-even in weeks (one decimal).</t>
        </is>
      </c>
    </row>
    <row r="4" ht="32" customHeight="1">
      <c r="B4" s="9" t="inlineStr">
        <is>
          <t>Plan</t>
        </is>
      </c>
      <c r="C4" s="9" t="inlineStr">
        <is>
          <t>Capex deployed</t>
        </is>
      </c>
      <c r="D4" s="9" t="inlineStr">
        <is>
          <t>Break-even @ SLOW ramp ($/wk)</t>
        </is>
      </c>
      <c r="E4" s="9" t="inlineStr">
        <is>
          <t>Break-even @ MED ramp ($/wk)</t>
        </is>
      </c>
      <c r="F4" s="9" t="inlineStr">
        <is>
          <t>Break-even @ FAST ramp ($/wk)</t>
        </is>
      </c>
    </row>
    <row r="5">
      <c r="B5" s="10" t="inlineStr">
        <is>
          <t>Plan A: $150k cash only</t>
        </is>
      </c>
      <c r="C5" s="26">
        <f>CapexPlanA+LoanPlanA</f>
        <v/>
      </c>
      <c r="D5" s="27">
        <f>ROUNDUP($C5/IncSlow+3,1)</f>
        <v/>
      </c>
      <c r="E5" s="27">
        <f>ROUNDUP($C5/IncMed+3,1)</f>
        <v/>
      </c>
      <c r="F5" s="27">
        <f>ROUNDUP($C5/IncFast+3,1)</f>
        <v/>
      </c>
    </row>
    <row r="6">
      <c r="B6" s="10" t="inlineStr">
        <is>
          <t>Plan B: $150k cash + $100k loan</t>
        </is>
      </c>
      <c r="C6" s="26">
        <f>CapexPlanA+LoanPlanB</f>
        <v/>
      </c>
      <c r="D6" s="27">
        <f>ROUNDUP($C6/IncSlow+3,1)</f>
        <v/>
      </c>
      <c r="E6" s="27">
        <f>ROUNDUP($C6/IncMed+3,1)</f>
        <v/>
      </c>
      <c r="F6" s="27">
        <f>ROUNDUP($C6/IncFast+3,1)</f>
        <v/>
      </c>
    </row>
    <row r="7">
      <c r="B7" s="10" t="inlineStr">
        <is>
          <t>Plan C: $150k cash + $200k loan</t>
        </is>
      </c>
      <c r="C7" s="26">
        <f>CapexPlanA+LoanPlanC</f>
        <v/>
      </c>
      <c r="D7" s="27">
        <f>ROUNDUP($C7/IncSlow+3,1)</f>
        <v/>
      </c>
      <c r="E7" s="27">
        <f>ROUNDUP($C7/IncMed+3,1)</f>
        <v/>
      </c>
      <c r="F7" s="27">
        <f>ROUNDUP($C7/IncFast+3,1)</f>
        <v/>
      </c>
    </row>
    <row r="9">
      <c r="B9" s="3" t="inlineStr">
        <is>
          <t>Memo: net break-even INCLUDING debt interest</t>
        </is>
      </c>
      <c r="C9" s="20" t="n"/>
      <c r="D9" s="20" t="n"/>
      <c r="E9" s="20" t="n"/>
      <c r="F9" s="21" t="n"/>
    </row>
    <row r="10">
      <c r="B10" s="9" t="inlineStr">
        <is>
          <t>Plan</t>
        </is>
      </c>
      <c r="C10" s="9" t="inlineStr">
        <is>
          <t>Capex deployed</t>
        </is>
      </c>
      <c r="D10" s="9" t="inlineStr">
        <is>
          <t>Total interest (60mo)</t>
        </is>
      </c>
      <c r="E10" s="9" t="inlineStr">
        <is>
          <t>Total to repay + interest</t>
        </is>
      </c>
      <c r="F10" s="9" t="inlineStr">
        <is>
          <t>Break-even wks (MED, w/interest)</t>
        </is>
      </c>
    </row>
    <row r="11">
      <c r="B11" s="10" t="inlineStr">
        <is>
          <t>Plan A</t>
        </is>
      </c>
      <c r="C11" s="25">
        <f>CapexPlanA+LoanPlanA</f>
        <v/>
      </c>
      <c r="D11" s="25">
        <f>0</f>
        <v/>
      </c>
      <c r="E11" s="25">
        <f>CapexPlanA+LoanPlanA</f>
        <v/>
      </c>
      <c r="F11" s="28">
        <f>ROUNDUP($D11/IncMed+3,1)</f>
        <v/>
      </c>
    </row>
    <row r="12">
      <c r="B12" s="10" t="inlineStr">
        <is>
          <t>Plan B</t>
        </is>
      </c>
      <c r="C12" s="25">
        <f>CapexPlanA+LoanPlanB</f>
        <v/>
      </c>
      <c r="D12" s="25">
        <f>(-PMT(LoanAPR60/52,260,-LoanPlanB)*260) - LoanPlanB</f>
        <v/>
      </c>
      <c r="E12" s="25">
        <f>(CapexPlanA+LoanPlanB) + ((-PMT(LoanAPR60/52,260,-LoanPlanB)*260) - LoanPlanB)</f>
        <v/>
      </c>
      <c r="F12" s="28">
        <f>ROUNDUP($D12/IncMed+3,1)</f>
        <v/>
      </c>
    </row>
    <row r="13">
      <c r="B13" s="10" t="inlineStr">
        <is>
          <t>Plan C</t>
        </is>
      </c>
      <c r="C13" s="25">
        <f>CapexPlanA+LoanPlanC</f>
        <v/>
      </c>
      <c r="D13" s="25">
        <f>(-PMT(LoanAPR60/52,260,-LoanPlanC)*260) - LoanPlanC</f>
        <v/>
      </c>
      <c r="E13" s="25">
        <f>(CapexPlanA+LoanPlanC) + ((-PMT(LoanAPR60/52,260,-LoanPlanC)*260) - LoanPlanC)</f>
        <v/>
      </c>
      <c r="F13" s="28">
        <f>ROUNDUP($D13/IncMed+3,1)</f>
        <v/>
      </c>
    </row>
    <row r="15">
      <c r="B15" s="6" t="inlineStr">
        <is>
          <t>How to read this sheet. Capex deployed is the total $ leaving the business account in Week 1 (cash + borrowed). Break-even weeks is the number of weeks BEFORE taxes, BEFORE the time value of money, BEFORE any tax shield from deductible interest. The w/interest block adds loan-life total interest as an additional hurdle -- Plan B at MED ramp pays back the (capex + interest) total in ~62 weeks; Plan C in ~78 weeks. These are signals, not predictions -- real breakevens depend on shop financials that are not yet on file.</t>
        </is>
      </c>
    </row>
    <row r="16"/>
    <row r="17"/>
    <row r="18"/>
    <row r="19"/>
    <row r="20"/>
  </sheetData>
  <mergeCells count="5">
    <mergeCell ref="B2:F2"/>
    <mergeCell ref="B3:F3"/>
    <mergeCell ref="B15:F20"/>
    <mergeCell ref="B1:F1"/>
    <mergeCell ref="B9:F9"/>
  </mergeCells>
  <pageMargins left="0.7" right="0.7" top="0.75" bottom="0.75" header="0.3" footer="0.3"/>
</worksheet>
</file>

<file path=xl/worksheets/sheet6.xml><?xml version="1.0" encoding="utf-8"?>
<worksheet xmlns="http://schemas.openxmlformats.org/spreadsheetml/2006/main">
  <sheetPr>
    <tabColor rgb="FFED7D31"/>
    <outlinePr summaryBelow="1" summaryRight="1"/>
    <pageSetUpPr/>
  </sheetPr>
  <dimension ref="B1:G27"/>
  <sheetViews>
    <sheetView workbookViewId="0">
      <selection activeCell="A1" sqref="A1"/>
    </sheetView>
  </sheetViews>
  <sheetFormatPr baseColWidth="8" defaultRowHeight="15"/>
  <cols>
    <col width="2.7109375" customWidth="1" min="1" max="1"/>
    <col width="32.7109375" customWidth="1" min="2" max="2"/>
    <col width="18.7109375" customWidth="1" min="3" max="7"/>
  </cols>
  <sheetData>
    <row r="1">
      <c r="B1" s="1" t="inlineStr">
        <is>
          <t>Trade-Off: Pay Interest Sooner vs. Wait and Save</t>
        </is>
      </c>
    </row>
    <row r="2">
      <c r="B2" s="2" t="inlineStr">
        <is>
          <t>The honest answer to "should I borrow more to do it sooner?" is a trade between (a) loan interest paid for the extra weeks of capex being out there earning revenue and (b) revenue you would have earned had you spent sooner but did not because you waited.</t>
        </is>
      </c>
    </row>
    <row r="4" ht="30" customHeight="1">
      <c r="B4" s="9" t="inlineStr">
        <is>
          <t>Item</t>
        </is>
      </c>
      <c r="C4" s="9" t="inlineStr">
        <is>
          <t>Plan A: $150k cash</t>
        </is>
      </c>
      <c r="D4" s="9" t="inlineStr">
        <is>
          <t>Plan B: cash + $100k loan</t>
        </is>
      </c>
      <c r="E4" s="9" t="inlineStr">
        <is>
          <t>Plan C: cash + $200k loan</t>
        </is>
      </c>
    </row>
    <row r="5">
      <c r="B5" s="10" t="inlineStr">
        <is>
          <t>Weekly interest cost (avg, 13 wk)</t>
        </is>
      </c>
      <c r="C5" s="25">
        <f>0</f>
        <v/>
      </c>
      <c r="D5" s="25">
        <f>ROUND(LoanPlanB*LoanAPR60/52,0)</f>
        <v/>
      </c>
      <c r="E5" s="25">
        <f>ROUND(LoanPlanC*LoanAPR60/52,0)</f>
        <v/>
      </c>
    </row>
    <row r="6">
      <c r="B6" s="10" t="inlineStr">
        <is>
          <t>13-week interest cost (avg)</t>
        </is>
      </c>
      <c r="C6" s="25">
        <f>0</f>
        <v/>
      </c>
      <c r="D6" s="25">
        <f>ROUND(LoanPlanB*LoanAPR60/52*13,0)</f>
        <v/>
      </c>
      <c r="E6" s="25">
        <f>ROUND(LoanPlanC*LoanAPR60/52*13,0)</f>
        <v/>
      </c>
    </row>
    <row r="7">
      <c r="B7" s="10" t="inlineStr">
        <is>
          <t>Capex deployed by end of Wk 1</t>
        </is>
      </c>
      <c r="C7" s="26">
        <f>CapexPlanA+LoanPlanA</f>
        <v/>
      </c>
      <c r="D7" s="26">
        <f>CapexPlanA+LoanPlanB</f>
        <v/>
      </c>
      <c r="E7" s="26">
        <f>CapexPlanA+LoanPlanC</f>
        <v/>
      </c>
    </row>
    <row r="8">
      <c r="B8" s="10" t="inlineStr">
        <is>
          <t>Incremental CM captured Wks 4-13 (MED ramp)</t>
        </is>
      </c>
      <c r="C8" s="25">
        <f>10*IncMed</f>
        <v/>
      </c>
      <c r="D8" s="25">
        <f>10*IncMed</f>
        <v/>
      </c>
      <c r="E8" s="25">
        <f>10*IncMed</f>
        <v/>
      </c>
    </row>
    <row r="9">
      <c r="B9" s="10" t="inlineStr">
        <is>
          <t>Incremental CM captured Wks 4-13 (FAST ramp)</t>
        </is>
      </c>
      <c r="C9" s="25">
        <f>10*IncFast</f>
        <v/>
      </c>
      <c r="D9" s="25">
        <f>10*IncFast</f>
        <v/>
      </c>
      <c r="E9" s="25">
        <f>10*IncFast</f>
        <v/>
      </c>
    </row>
    <row r="10">
      <c r="B10" s="10" t="inlineStr">
        <is>
          <t>Incremental CM captured Wks 4-13 (SLOW ramp)</t>
        </is>
      </c>
      <c r="C10" s="25">
        <f>10*IncSlow</f>
        <v/>
      </c>
      <c r="D10" s="25">
        <f>10*IncSlow</f>
        <v/>
      </c>
      <c r="E10" s="25">
        <f>10*IncSlow</f>
        <v/>
      </c>
    </row>
    <row r="12">
      <c r="B12" s="3" t="inlineStr">
        <is>
          <t>The trade-off per plan (extra spend vs. Plan A, dollars)</t>
        </is>
      </c>
      <c r="C12" s="20" t="n"/>
      <c r="D12" s="20" t="n"/>
      <c r="E12" s="20" t="n"/>
      <c r="F12" s="20" t="n"/>
      <c r="G12" s="21" t="n"/>
    </row>
    <row r="13">
      <c r="B13" s="9" t="inlineStr">
        <is>
          <t>Item</t>
        </is>
      </c>
      <c r="C13" s="9" t="inlineStr">
        <is>
          <t>Plan A: $150k cash</t>
        </is>
      </c>
      <c r="D13" s="9" t="inlineStr">
        <is>
          <t>Plan B: cash + $100k</t>
        </is>
      </c>
      <c r="E13" s="9" t="inlineStr">
        <is>
          <t>Plan C: cash + $200k</t>
        </is>
      </c>
      <c r="F13" s="9" t="inlineStr">
        <is>
          <t>B - A delta</t>
        </is>
      </c>
      <c r="G13" s="9" t="inlineStr">
        <is>
          <t>C - A delta</t>
        </is>
      </c>
    </row>
    <row r="14">
      <c r="B14" s="10" t="inlineStr">
        <is>
          <t>Extra capex deployed vs Plan A</t>
        </is>
      </c>
      <c r="C14" s="25">
        <f>0</f>
        <v/>
      </c>
      <c r="D14" s="25">
        <f>LoanPlanB</f>
        <v/>
      </c>
      <c r="E14" s="25">
        <f>LoanPlanC</f>
        <v/>
      </c>
      <c r="F14" s="25">
        <f>D14-C14</f>
        <v/>
      </c>
      <c r="G14" s="25">
        <f>E14-C14</f>
        <v/>
      </c>
    </row>
    <row r="15">
      <c r="B15" s="10" t="inlineStr">
        <is>
          <t>13-wk interest cost on extra spend</t>
        </is>
      </c>
      <c r="C15" s="25">
        <f>0</f>
        <v/>
      </c>
      <c r="D15" s="25">
        <f>ROUND(LoanPlanB*LoanAPR60/52*13,0)</f>
        <v/>
      </c>
      <c r="E15" s="25">
        <f>ROUND(LoanPlanC*LoanAPR60/52*13,0)</f>
        <v/>
      </c>
      <c r="F15" s="25">
        <f>D15-C15</f>
        <v/>
      </c>
      <c r="G15" s="25">
        <f>E15-C15</f>
        <v/>
      </c>
    </row>
    <row r="16">
      <c r="B16" s="18" t="inlineStr">
        <is>
          <t>Yr-1 incremental contribution of extra spend (49 post-install wks, MED)</t>
        </is>
      </c>
      <c r="C16" s="25">
        <f>0</f>
        <v/>
      </c>
      <c r="D16" s="25">
        <f>ROUND((LoanPlanB/CapexPlanA)*IncMed*49, 0)</f>
        <v/>
      </c>
      <c r="E16" s="25">
        <f>ROUND((LoanPlanC/CapexPlanA)*IncMed*49, 0)</f>
        <v/>
      </c>
      <c r="F16" s="25">
        <f>D16-C16</f>
        <v/>
      </c>
      <c r="G16" s="25">
        <f>E16-C16</f>
        <v/>
      </c>
    </row>
    <row r="18">
      <c r="B18" s="6" t="inlineStr">
        <is>
          <t>Reading this trade-off. "Extra capex deployed" is what the loan buys ($100k for Plan B, $200k for Plan C). "13-wk interest cost" is the MINIMUM cost of moving sooner: about $1,500 for Plan B and $3,000 for Plan C at 7.62% APR averaged over the first 13 weeks on outstanding balance. "Yr-1 incremental contribution" is a rough revenue equivalent under MED ramp: ~$98k for Plan B, ~$196k for Plan C, assuming linear scaling. First-year economics look favorable for both plans IF the linear assumption holds. They tilt against borrowing when (a) ramp is slower than MED, (b) loan rate is at the HIGH band (8.97%), or (c) the extra equipment cannot lift weekly CM commensurately -- exactly the open question on file about what the second $100k actually buys.</t>
        </is>
      </c>
    </row>
    <row r="19"/>
    <row r="20"/>
    <row r="21"/>
    <row r="22"/>
    <row r="23"/>
    <row r="24"/>
    <row r="25"/>
    <row r="26"/>
    <row r="27"/>
  </sheetData>
  <mergeCells count="4">
    <mergeCell ref="B18:G27"/>
    <mergeCell ref="B2:G2"/>
    <mergeCell ref="B12:G12"/>
    <mergeCell ref="B1:G1"/>
  </mergeCells>
  <pageMargins left="0.7" right="0.7" top="0.75" bottom="0.75" header="0.3" footer="0.3"/>
</worksheet>
</file>

<file path=xl/worksheets/sheet7.xml><?xml version="1.0" encoding="utf-8"?>
<worksheet xmlns="http://schemas.openxmlformats.org/spreadsheetml/2006/main">
  <sheetPr>
    <tabColor rgb="FFA6A6A6"/>
    <outlinePr summaryBelow="1" summaryRight="1"/>
    <pageSetUpPr/>
  </sheetPr>
  <dimension ref="B1:C15"/>
  <sheetViews>
    <sheetView workbookViewId="0">
      <selection activeCell="A1" sqref="A1"/>
    </sheetView>
  </sheetViews>
  <sheetFormatPr baseColWidth="8" defaultRowHeight="15"/>
  <cols>
    <col width="2.7109375" customWidth="1" min="1" max="1"/>
    <col width="30.7109375" customWidth="1" min="2" max="2"/>
    <col width="90.7109375" customWidth="1" min="3" max="3"/>
  </cols>
  <sheetData>
    <row r="1">
      <c r="B1" s="1" t="inlineStr">
        <is>
          <t>Model README -- how to use this workbook</t>
        </is>
      </c>
    </row>
    <row r="3" ht="42" customHeight="1">
      <c r="B3" s="10" t="inlineStr">
        <is>
          <t>Purpose</t>
        </is>
      </c>
      <c r="C3" s="6" t="inlineStr">
        <is>
          <t>Quantify the cash decision for repositioning one of two Washington auto repair shops against EV-driven demand risk. Three plans: deploy $150k cash (Plan A), borrow an additional $100k (Plan B), borrow an additional $200k (Plan C). BASE and STRESS ops scenarios.</t>
        </is>
      </c>
    </row>
    <row r="4" ht="28" customHeight="1">
      <c r="B4" s="10" t="inlineStr">
        <is>
          <t>Source rates</t>
        </is>
      </c>
      <c r="C4" s="6" t="inlineStr">
        <is>
          <t>48-mo new-auto loan rate: 7.47% (FRED TERMCBAUTO48NS, May 2026 obs). 60-mo equipment loan assumed 7.62% (+15 bps for term). Fed funds 3.63% (fred_fedfunds.csv, July 2026).</t>
        </is>
      </c>
    </row>
    <row r="5" ht="28" customHeight="1">
      <c r="B5" s="10" t="inlineStr">
        <is>
          <t>Owner cash</t>
        </is>
      </c>
      <c r="C5" s="6" t="inlineStr">
        <is>
          <t>$150,000 earmarked (per brief).</t>
        </is>
      </c>
    </row>
    <row r="6" ht="28" customHeight="1">
      <c r="B6" s="10" t="inlineStr">
        <is>
          <t>Scope of $150k</t>
        </is>
      </c>
      <c r="C6" s="6" t="inlineStr">
        <is>
          <t>PLACEHOLDER: in-shop capability upgrade.</t>
        </is>
      </c>
    </row>
    <row r="7" ht="42" customHeight="1">
      <c r="B7" s="10" t="inlineStr">
        <is>
          <t>What the model ASSUMES</t>
        </is>
      </c>
      <c r="C7" s="6" t="inlineStr">
        <is>
          <t>1. Loan drawn at Week 1, level amortization, weekly payments. 2. 60-month term = 260 weekly pay periods. 3. Incremental CM is zero in install weeks (1-3) then linear at the MED rate. 4. Owner weekly draw = $3,000. 5. Net ops cash constant $12,000/wk aggregate (no seasonality).</t>
        </is>
      </c>
    </row>
    <row r="8" ht="42" customHeight="1">
      <c r="B8" s="10" t="inlineStr">
        <is>
          <t>What this model does NOT include</t>
        </is>
      </c>
      <c r="C8" s="6" t="inlineStr">
        <is>
          <t>1. Real shop P&amp;L (per shop). 2. Tax treatment. 3. Working-capital seasonality. 4. Fleet-program cashflows. 5. Owner personal balance sheet. 6. Real-estate exposure. 7. Inflation / Fed scenarios beyond the May 2026 published rate.</t>
        </is>
      </c>
    </row>
    <row r="9" ht="28" customHeight="1">
      <c r="B9" s="10" t="inlineStr">
        <is>
          <t>Stress tests built in</t>
        </is>
      </c>
      <c r="C9" s="6" t="inlineStr">
        <is>
          <t>Weekly_Cash STRESS panel (OpsLow instead of OpsBase). Debt_Schedule rate sensitivity at +/- 150 bps. MIN(ending cash) over horizon.</t>
        </is>
      </c>
    </row>
    <row r="10" ht="28" customHeight="1">
      <c r="B10" s="10" t="inlineStr">
        <is>
          <t>How to drive the model</t>
        </is>
      </c>
      <c r="C10" s="6" t="inlineStr">
        <is>
          <t>Edit any YELLOW cell on the Inputs sheet (column C). Press Ctrl-Alt-F9 in Excel for full recalculation.</t>
        </is>
      </c>
    </row>
    <row r="11" ht="28" customHeight="1">
      <c r="B11" s="10" t="inlineStr">
        <is>
          <t>Sensitivity advice</t>
        </is>
      </c>
      <c r="C11" s="6" t="inlineStr">
        <is>
          <t>The single most consequential driver is weekly net ops cash. A 25% miss turns a comfortable runway into a tight one. Get shop P&amp;L before committing to a plan.</t>
        </is>
      </c>
    </row>
    <row r="12" ht="28" customHeight="1">
      <c r="B12" s="10" t="inlineStr">
        <is>
          <t>Recommended decision rule</t>
        </is>
      </c>
      <c r="C12" s="6" t="inlineStr">
        <is>
          <t>Default to Plan A (deploy $150k cash, no debt) until shop P&amp;L confirms the ramp rate. Re-evaluate the borrowing question once real contribution margin data is available.</t>
        </is>
      </c>
    </row>
    <row r="13">
      <c r="B13" s="19" t="inlineStr">
        <is>
          <t>Prepared by Simkins &amp; Elgazar LLC | Confidential - Prepared by UnifiedAnalyst (automated analysis). Review before use.</t>
        </is>
      </c>
    </row>
    <row r="14"/>
    <row r="15"/>
  </sheetData>
  <mergeCells count="2">
    <mergeCell ref="B1:C1"/>
    <mergeCell ref="B13:C15"/>
  </mergeCells>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Simkins &amp; Elgazar LLC</dc:creator>
  <dc:title xmlns:dc="http://purl.org/dc/elements/1.1/">Simkins &amp; Elgazar LLC - EV Repositioning Cash Decision Model</dc:title>
  <dc:description xmlns:dc="http://purl.org/dc/elements/1.1/">Parametric 13-week cash model. All inputs on Inputs sheet (yellow). Everything else is a live formula.</dc:description>
  <dc:subject xmlns:dc="http://purl.org/dc/elements/1.1/">13-week cash flow and breakeven analysis for Tacoma/Spokane</dc:subject>
  <dcterms:created xmlns:dcterms="http://purl.org/dc/terms/" xmlns:xsi="http://www.w3.org/2001/XMLSchema-instance" xsi:type="dcterms:W3CDTF">2026-08-13T15:32:58Z</dcterms:created>
  <dcterms:modified xmlns:dcterms="http://purl.org/dc/terms/" xmlns:xsi="http://www.w3.org/2001/XMLSchema-instance" xsi:type="dcterms:W3CDTF">2026-08-13T16:13:05Z</dcterms:modified>
  <cp:lastModifiedBy>Simkins &amp; Elgazar LLC</cp:lastModifiedBy>
</cp:coreProperties>
</file>