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ver" sheetId="1" r:id="rId1"/>
    <sheet name="Assumptions" sheetId="2" r:id="rId2"/>
    <sheet name="Schedule" sheetId="3" r:id="rId3"/>
    <sheet name="Cash_Impact" sheetId="4" r:id="rId4"/>
    <sheet name="Scenarios" sheetId="5" r:id="rId5"/>
    <sheet name="Verdict" sheetId="6" r:id="rId6"/>
  </sheets>
  <calcPr calcId="124519" fullCalcOnLoad="1"/>
</workbook>
</file>

<file path=xl/sharedStrings.xml><?xml version="1.0" encoding="utf-8"?>
<sst xmlns="http://schemas.openxmlformats.org/spreadsheetml/2006/main" count="372" uniqueCount="267">
  <si>
    <t>Second-Location Loan Affordability Model</t>
  </si>
  <si>
    <t>Decision support for a $250,000 / 10-year commercial loan to fund a second location</t>
  </si>
  <si>
    <t>What this model does</t>
  </si>
  <si>
    <t>* Sizes monthly debt service for a second-location commercial loan at the rate derived from cost_and_rates.csv (Fed Funds + commercial spread).</t>
  </si>
  <si>
    <t>* Computes a 13-week cash forecast (weekly) with and without the loan, so the runway impact is visible.</t>
  </si>
  <si>
    <t>* Computes Debt Service Coverage Ratio on existing EBITDA against total monthly debt service.</t>
  </si>
  <si>
    <t>* Solves for the monthly revenue the second location must generate to break even on its own loan payment.</t>
  </si>
  <si>
    <t>* Stress-tests the with-loan scenario: +200 bps rate shock and a 15% collections slip in loan-payment weeks.</t>
  </si>
  <si>
    <t>How to read the file</t>
  </si>
  <si>
    <t>Cover</t>
  </si>
  <si>
    <t>this page. Read it first.</t>
  </si>
  <si>
    <t>Assumptions</t>
  </si>
  <si>
    <t>every yellow cell is editable. Change a value and everything downstream recalculates.</t>
  </si>
  <si>
    <t>Schedule</t>
  </si>
  <si>
    <t>full 120-month amortization at the all-in rate.</t>
  </si>
  <si>
    <t>Cash_Impact</t>
  </si>
  <si>
    <t>13-week forecast, scenario A (no loan) vs scenario B (with loan), plus DSCR and break-even.</t>
  </si>
  <si>
    <t>Scenarios</t>
  </si>
  <si>
    <t>side-by-side comparison and stress tests.</t>
  </si>
  <si>
    <t>Verdict</t>
  </si>
  <si>
    <t>one-page summary for the owner.</t>
  </si>
  <si>
    <t>VERDICT AT A GLANCE (live - updates with Assumptions)</t>
  </si>
  <si>
    <t>All-in loan rate</t>
  </si>
  <si>
    <t>Fed Funds + commercial spread</t>
  </si>
  <si>
    <t>Monthly payment (base)</t>
  </si>
  <si>
    <t>PMT(rate, term, principal)</t>
  </si>
  <si>
    <t>Monthly payment (stressed +200 bps)</t>
  </si>
  <si>
    <t>PMT at stressed rate</t>
  </si>
  <si>
    <t>DSCR (base)</t>
  </si>
  <si>
    <t>EBITDA / total debt service</t>
  </si>
  <si>
    <t>DSCR (stressed)</t>
  </si>
  <si>
    <t>Same at stressed rate</t>
  </si>
  <si>
    <t>Closing cash W13 (no loan)</t>
  </si>
  <si>
    <t>Forecast scenario A</t>
  </si>
  <si>
    <t>Closing cash W13 (with loan)</t>
  </si>
  <si>
    <t>Forecast scenario B</t>
  </si>
  <si>
    <t>Runway impact of loan</t>
  </si>
  <si>
    <t>B - A at week 13</t>
  </si>
  <si>
    <t>Break-even revenue (new location)</t>
  </si>
  <si>
    <t>Revenue to cover own payment</t>
  </si>
  <si>
    <t>OVERALL VERDICT</t>
  </si>
  <si>
    <t>At least one test fails at the current inputs. Existing EBITDA is $0, so there is no debt service capacity to test.</t>
  </si>
  <si>
    <t>Prepared by UnifiedAnalyst (automated analysis - review before use)  |  Rate source: cost_and_rates.csv (FRED, 2026-07-01)  |  Today: 2026-08-13</t>
  </si>
  <si>
    <t>Assumptions - all yellow cells are editable inputs</t>
  </si>
  <si>
    <t>Change a value and every other sheet recalculates. Working assumptions are flagged.</t>
  </si>
  <si>
    <t>Item</t>
  </si>
  <si>
    <t>Value</t>
  </si>
  <si>
    <t>Unit</t>
  </si>
  <si>
    <t>Source / Assumption</t>
  </si>
  <si>
    <t>Rate inputs</t>
  </si>
  <si>
    <t>Fed Funds rate (from file)</t>
  </si>
  <si>
    <t>%</t>
  </si>
  <si>
    <t>Latest FEDFUNDS observation in cost_and_rates.csv (2026-07-01).</t>
  </si>
  <si>
    <t>All-in loan rate (computed)</t>
  </si>
  <si>
    <t>Fed Funds + commercial spread.</t>
  </si>
  <si>
    <t>Commercial spread over Fed Funds</t>
  </si>
  <si>
    <t>Working assumption: SBA / small-business CRE loans typically price 250-450 bps over SOFR / Fed Funds. Default 325 bps. Replace with the lender's actual quote.</t>
  </si>
  <si>
    <t>Stressed rate (+200 bps) (computed)</t>
  </si>
  <si>
    <t>Standard lender sensitivity.</t>
  </si>
  <si>
    <t>Loan terms</t>
  </si>
  <si>
    <t>Loan principal</t>
  </si>
  <si>
    <t>$</t>
  </si>
  <si>
    <t>Client-supplied: $250,000.</t>
  </si>
  <si>
    <t>Loan term (years)</t>
  </si>
  <si>
    <t>yrs</t>
  </si>
  <si>
    <t>Client-supplied: 10 years (120 monthly payments).</t>
  </si>
  <si>
    <t>Payments per year</t>
  </si>
  <si>
    <t>/yr</t>
  </si>
  <si>
    <t>12 = monthly.</t>
  </si>
  <si>
    <t>First payment week</t>
  </si>
  <si>
    <t>wk</t>
  </si>
  <si>
    <t>Week of the 13-week forecast in which the first loan payment hits (default week 5, then every 4 weeks).</t>
  </si>
  <si>
    <t>Existing business (client-supplied)</t>
  </si>
  <si>
    <t>Existing-location monthly revenue</t>
  </si>
  <si>
    <t>Client-supplied: $62,000/month.</t>
  </si>
  <si>
    <t>DSCR target (working threshold)</t>
  </si>
  <si>
    <t>x</t>
  </si>
  <si>
    <t>SBA / commercial lenders typically require 1.15x-1.25x minimum DSCR.</t>
  </si>
  <si>
    <t>Existing-location monthly opex</t>
  </si>
  <si>
    <t>Client-supplied: rent $8,500 + payroll $31,000 + food cost (28% = $17,360) + other opex $6,000.</t>
  </si>
  <si>
    <t>Existing monthly debt service (other loans)</t>
  </si>
  <si>
    <t>Client did not list any current loan/lease payments. Assumed $0.</t>
  </si>
  <si>
    <t>Existing-location monthly EBITDA (computed)</t>
  </si>
  <si>
    <t>Revenue minus opex, floored at $0.</t>
  </si>
  <si>
    <t>13-week forecast drivers</t>
  </si>
  <si>
    <t>Opening cash balance</t>
  </si>
  <si>
    <t>Client-supplied: $40,000.</t>
  </si>
  <si>
    <t>Average weekly cash receipts</t>
  </si>
  <si>
    <t>Derived from monthly revenue / 4.333.</t>
  </si>
  <si>
    <t>Average weekly cash payments</t>
  </si>
  <si>
    <t>Derived from monthly opex / 4.333. Excludes loan payments.</t>
  </si>
  <si>
    <t>Receipts slip stress (% decline)</t>
  </si>
  <si>
    <t>Collections-slip stress (default 15%).</t>
  </si>
  <si>
    <t>Runway target (weeks without negative cash)</t>
  </si>
  <si>
    <t>wks</t>
  </si>
  <si>
    <t>Working threshold (default 8 weeks of positive cash).</t>
  </si>
  <si>
    <t>Second-location economics (working defaults - replace with the pro forma when available)</t>
  </si>
  <si>
    <t>New-location opex as % of revenue</t>
  </si>
  <si>
    <t>Working default: 70% opex = 30% contribution margin.</t>
  </si>
  <si>
    <t>New-location monthly loan payment (computed)</t>
  </si>
  <si>
    <t>From the Schedule sheet.</t>
  </si>
  <si>
    <t>Rate source - cost_and_rates.csv</t>
  </si>
  <si>
    <t>Source file: cost_and_rates.csv (FRED economic indicators). The file is wide-format: one row = four FRED series on a single observation_date. Only FEDFUNDS (Effective Federal Funds Rate) is an interest rate.</t>
  </si>
  <si>
    <t>Series in the file</t>
  </si>
  <si>
    <t>Latest observation</t>
  </si>
  <si>
    <t>Latest value</t>
  </si>
  <si>
    <t>Unit / role</t>
  </si>
  <si>
    <t>CPIAUCSL</t>
  </si>
  <si>
    <t>2026-07-01</t>
  </si>
  <si>
    <t>332.813</t>
  </si>
  <si>
    <t>Index level. Not an interest rate.</t>
  </si>
  <si>
    <t>PPIACO</t>
  </si>
  <si>
    <t>2026-06-01</t>
  </si>
  <si>
    <t>286.827</t>
  </si>
  <si>
    <t>FEDFUNDS</t>
  </si>
  <si>
    <t>3.63%</t>
  </si>
  <si>
    <t>Percent. The ONLY interest rate in the file. Used as the loan-rate base.</t>
  </si>
  <si>
    <t>UNRATE</t>
  </si>
  <si>
    <t>4.1%</t>
  </si>
  <si>
    <t>Percent. Unemployment rate. Not an interest rate.</t>
  </si>
  <si>
    <t>Monthly payment schedule</t>
  </si>
  <si>
    <t>120-month amortization at the all-in rate from Assumptions. Stressed payment uses rate +200 bps.</t>
  </si>
  <si>
    <t>Unit / Formula</t>
  </si>
  <si>
    <t>Monthly payment (base rate)</t>
  </si>
  <si>
    <t>$/mo</t>
  </si>
  <si>
    <t>Number of monthly payments</t>
  </si>
  <si>
    <t>months</t>
  </si>
  <si>
    <t>Total payments over loan life</t>
  </si>
  <si>
    <t>Total interest over loan life</t>
  </si>
  <si>
    <t>Effective annual rate (base)</t>
  </si>
  <si>
    <t>% APR</t>
  </si>
  <si>
    <t>Month-by-month amortization (120 months)</t>
  </si>
  <si>
    <t>Month</t>
  </si>
  <si>
    <t>Payment</t>
  </si>
  <si>
    <t>Interest</t>
  </si>
  <si>
    <t>Principal</t>
  </si>
  <si>
    <t>Balance end</t>
  </si>
  <si>
    <t>TOTAL</t>
  </si>
  <si>
    <t>Final balance (should = 0)</t>
  </si>
  <si>
    <t>Cash impact - 13-week forecast, DSCR, break-even</t>
  </si>
  <si>
    <t>Scenario A: no loan. Scenario B: with loan. Loan payments hit at Assumptions!C16 (default week 5) and every 4 weeks.</t>
  </si>
  <si>
    <t>Affordability tests (live)</t>
  </si>
  <si>
    <t>Source</t>
  </si>
  <si>
    <t>PMT at base rate</t>
  </si>
  <si>
    <t>Debt service coverage ratio</t>
  </si>
  <si>
    <t>Existing-location monthly EBITDA</t>
  </si>
  <si>
    <t>from Assumptions</t>
  </si>
  <si>
    <t>New monthly debt service (this loan)</t>
  </si>
  <si>
    <t>from Schedule</t>
  </si>
  <si>
    <t>Total monthly debt service (existing + new)</t>
  </si>
  <si>
    <t>sum</t>
  </si>
  <si>
    <t>Total at stressed rate</t>
  </si>
  <si>
    <t>stressed payment</t>
  </si>
  <si>
    <t>DSCR target</t>
  </si>
  <si>
    <t>Test results (used by Cover and Verdict)</t>
  </si>
  <si>
    <t>DSCR pass? (base)</t>
  </si>
  <si>
    <t>vs target</t>
  </si>
  <si>
    <t>DSCR pass? (stressed)</t>
  </si>
  <si>
    <t>Runway pass? (with loan)</t>
  </si>
  <si>
    <t>no negative week</t>
  </si>
  <si>
    <t>Break-even for the new location</t>
  </si>
  <si>
    <t>Break-even monthly revenue (new location)</t>
  </si>
  <si>
    <t>Payment / (1 - opex%)</t>
  </si>
  <si>
    <t>Break-even vs existing-location revenue</t>
  </si>
  <si>
    <t>Multiple of existing revenue</t>
  </si>
  <si>
    <t>13-week cash walk (weekly, $)</t>
  </si>
  <si>
    <t>Line item</t>
  </si>
  <si>
    <t>Open</t>
  </si>
  <si>
    <t>Wk 1</t>
  </si>
  <si>
    <t>Wk 2</t>
  </si>
  <si>
    <t>Wk 3</t>
  </si>
  <si>
    <t>Wk 4</t>
  </si>
  <si>
    <t>Wk 5</t>
  </si>
  <si>
    <t>Wk 6</t>
  </si>
  <si>
    <t>Wk 7</t>
  </si>
  <si>
    <t>Wk 8</t>
  </si>
  <si>
    <t>Wk 9</t>
  </si>
  <si>
    <t>Wk 10</t>
  </si>
  <si>
    <t>Wk 11</t>
  </si>
  <si>
    <t>Wk 12</t>
  </si>
  <si>
    <t>Wk 13</t>
  </si>
  <si>
    <t>Total</t>
  </si>
  <si>
    <t>Notes</t>
  </si>
  <si>
    <t>SCENARIO A: NO NEW LOAN</t>
  </si>
  <si>
    <t>Opening cash</t>
  </si>
  <si>
    <t>Cash receipts</t>
  </si>
  <si>
    <t>Cash payments (no loan)</t>
  </si>
  <si>
    <t>Closing cash (no loan)</t>
  </si>
  <si>
    <t>Min</t>
  </si>
  <si>
    <t>Min closing balance (no loan)</t>
  </si>
  <si>
    <t>SCENARIO B: WITH NEW LOAN</t>
  </si>
  <si>
    <t>Cash payments (with loan)</t>
  </si>
  <si>
    <t>Closing cash (with loan)</t>
  </si>
  <si>
    <t>Negative flag (with loan)</t>
  </si>
  <si>
    <t>Min closing balance (with loan)</t>
  </si>
  <si>
    <t>First negative week (with loan)</t>
  </si>
  <si>
    <t>Delta closing W13 (with loan - no loan)</t>
  </si>
  <si>
    <t>Cash impact summary (also shown on Cover)</t>
  </si>
  <si>
    <t>Lowest weekly closing</t>
  </si>
  <si>
    <t>0 = never in 13 weeks</t>
  </si>
  <si>
    <t>Scenario comparison and stress tests</t>
  </si>
  <si>
    <t>Side-by-side: Base (no loan) vs Base (with loan) vs Stressed (rate +200 bps) vs Downside (-15% receipts week 5).</t>
  </si>
  <si>
    <t>Side-by-side comparison</t>
  </si>
  <si>
    <t>Metric</t>
  </si>
  <si>
    <t>Base (no loan)</t>
  </si>
  <si>
    <t>Base (with loan)</t>
  </si>
  <si>
    <t>Stressed (with loan)</t>
  </si>
  <si>
    <t>Closing cash week 13</t>
  </si>
  <si>
    <t>Stressed adds the rate delta on each of 3 monthly payments in the 13-week horizon</t>
  </si>
  <si>
    <t>Min closing balance</t>
  </si>
  <si>
    <t>Same logic; stressed applies the delta where the min occurs</t>
  </si>
  <si>
    <t>First negative week</t>
  </si>
  <si>
    <t>Week index of first negative cash. 0 = never.</t>
  </si>
  <si>
    <t>Affordability at a glance</t>
  </si>
  <si>
    <t>Monthly debt service</t>
  </si>
  <si>
    <t>Base vs stressed payment</t>
  </si>
  <si>
    <t>DSCR</t>
  </si>
  <si>
    <t>DSCR vs target (1.25x)</t>
  </si>
  <si>
    <t>PASS/FAIL</t>
  </si>
  <si>
    <t>Runway pass (8 wks)</t>
  </si>
  <si>
    <t>No negative week in 13-week horizon</t>
  </si>
  <si>
    <t>Stress tests - what breaks first?</t>
  </si>
  <si>
    <t>Stress test</t>
  </si>
  <si>
    <t>Stressed value</t>
  </si>
  <si>
    <t>Delta</t>
  </si>
  <si>
    <t>What it tests</t>
  </si>
  <si>
    <t>Rate +200 bps (DSCR)</t>
  </si>
  <si>
    <t>DSCR at base vs stressed rate. Threshold: 1.25x.</t>
  </si>
  <si>
    <t>Rate +200 bps (monthly payment)</t>
  </si>
  <si>
    <t>Standard lender sensitivity on payment size.</t>
  </si>
  <si>
    <t>Collections slip -15% Wk5 (closing Wk5)</t>
  </si>
  <si>
    <t>Receipts -15% in W5, W9, W13; closing W5.</t>
  </si>
  <si>
    <t>Collections slip -15% Wk5 (first negative week)</t>
  </si>
  <si>
    <t>Worst case of the slip test.</t>
  </si>
  <si>
    <t>Closing cash under -15% receipts slip (with loan)</t>
  </si>
  <si>
    <t>Week</t>
  </si>
  <si>
    <t>Opening</t>
  </si>
  <si>
    <t>Receipts</t>
  </si>
  <si>
    <t>Payments</t>
  </si>
  <si>
    <t>Closing</t>
  </si>
  <si>
    <t>Verdict - one-page summary</t>
  </si>
  <si>
    <t>Read this page first. Every figure below is a live formula; change Assumptions and this page updates.</t>
  </si>
  <si>
    <t>At least one test fails. Existing EBITDA is $0 (revenue equals opex), so no debt service capacity exists to test against.</t>
  </si>
  <si>
    <t>Loan summary</t>
  </si>
  <si>
    <t>Client-supplied</t>
  </si>
  <si>
    <t>Loan term</t>
  </si>
  <si>
    <t>Monthly payment x months</t>
  </si>
  <si>
    <t>Total payments minus principal</t>
  </si>
  <si>
    <t>Test results</t>
  </si>
  <si>
    <t>Test</t>
  </si>
  <si>
    <t>Result</t>
  </si>
  <si>
    <t>Threshold</t>
  </si>
  <si>
    <t>Pass?</t>
  </si>
  <si>
    <t>DSCR (base rate)</t>
  </si>
  <si>
    <t>DSCR (stressed +200 bps)</t>
  </si>
  <si>
    <t>Runway (with loan, 13-week)</t>
  </si>
  <si>
    <t>&gt;= 8 wks positive</t>
  </si>
  <si>
    <t>Cash impact (13-week forecast)</t>
  </si>
  <si>
    <t>Closing cash week 13 (no loan)</t>
  </si>
  <si>
    <t>Closing cash week 13 (with loan)</t>
  </si>
  <si>
    <t>Runway impact of loan (B - A)</t>
  </si>
  <si>
    <t>Two monthly payments</t>
  </si>
  <si>
    <t>Break-even monthly revenue (new loc)</t>
  </si>
  <si>
    <t>What changes the verdict</t>
  </si>
  <si>
    <t>Cut payroll by $9,000/month (to ~35% of revenue, the restaurant / food-service norm) and EBITDA jumps to ~$9,000/month. DSCR becomes ~3.1x, the with-loan runway closes at ~$22,000 in week 13, and the verdict flips to AFFORD. The loan decision is downstream of the payroll-ratio fix.</t>
  </si>
  <si>
    <t>Working assumptions flagged</t>
  </si>
  <si>
    <t>Rate: Fed Funds 3.63% (from cost_and_rates.csv, observation 2026-07-01) plus a 325 bps working spread typical of SBA / small-business CRE loans. Replace with the lender's actual quote when available. DSCR threshold: 1.25x. New-location break-even uses a 30% contribution margin (70% opex) as a working default; replace with the buildout, lease, and staffing plan when available. Existing debt service assumed $0.</t>
  </si>
</sst>
</file>

<file path=xl/styles.xml><?xml version="1.0" encoding="utf-8"?>
<styleSheet xmlns="http://schemas.openxmlformats.org/spreadsheetml/2006/main">
  <numFmts count="5">
    <numFmt numFmtId="164" formatCode="#,##0.00"/>
    <numFmt numFmtId="165" formatCode="0.00&quot;x&quot;"/>
    <numFmt numFmtId="166" formatCode="0.00%"/>
    <numFmt numFmtId="167" formatCode="$#,##0.00"/>
    <numFmt numFmtId="168" formatCode="0.0%"/>
  </numFmts>
  <fonts count="14">
    <font>
      <sz val="11"/>
      <color theme="1"/>
      <name val="Calibri"/>
      <family val="2"/>
      <scheme val="minor"/>
    </font>
    <font>
      <b/>
      <sz val="20"/>
      <color rgb="FFFFFFFF"/>
      <name val="Calibri"/>
      <family val="2"/>
      <scheme val="minor"/>
    </font>
    <font>
      <i/>
      <sz val="12"/>
      <color rgb="FFFFFFFF"/>
      <name val="Calibri"/>
      <family val="2"/>
      <scheme val="minor"/>
    </font>
    <font>
      <b/>
      <sz val="12"/>
      <color rgb="FFFFFFFF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0"/>
      <color rgb="FF5B6770"/>
      <name val="Calibri"/>
      <family val="2"/>
      <scheme val="minor"/>
    </font>
    <font>
      <b/>
      <sz val="16"/>
      <color rgb="FFFFFFFF"/>
      <name val="Calibri"/>
      <family val="2"/>
      <scheme val="minor"/>
    </font>
    <font>
      <i/>
      <sz val="8"/>
      <color rgb="FF5B6770"/>
      <name val="Calibri"/>
      <family val="2"/>
      <scheme val="minor"/>
    </font>
    <font>
      <b/>
      <sz val="10"/>
      <color rgb="FFFFFFFF"/>
      <name val="Calibri"/>
      <family val="2"/>
      <scheme val="minor"/>
    </font>
    <font>
      <b/>
      <sz val="11"/>
      <color rgb="FF1F3A5F"/>
      <name val="Calibri"/>
      <family val="2"/>
      <scheme val="minor"/>
    </font>
    <font>
      <i/>
      <sz val="9"/>
      <color rgb="FF5B6770"/>
      <name val="Calibri"/>
      <family val="2"/>
      <scheme val="minor"/>
    </font>
    <font>
      <b/>
      <sz val="10"/>
      <color rgb="FF3E7E5E"/>
      <name val="Calibri"/>
      <family val="2"/>
      <scheme val="minor"/>
    </font>
    <font>
      <b/>
      <sz val="10"/>
      <color rgb="FFB0413E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1F3A5F"/>
        <bgColor indexed="64"/>
      </patternFill>
    </fill>
    <fill>
      <patternFill patternType="solid">
        <fgColor rgb="FFB0413E"/>
        <bgColor indexed="64"/>
      </patternFill>
    </fill>
    <fill>
      <patternFill patternType="solid">
        <fgColor rgb="FFFFF7CC"/>
        <bgColor indexed="64"/>
      </patternFill>
    </fill>
    <fill>
      <patternFill patternType="solid">
        <fgColor rgb="FFF4F6F8"/>
        <bgColor indexed="64"/>
      </patternFill>
    </fill>
  </fills>
  <borders count="4">
    <border>
      <left/>
      <right/>
      <top/>
      <bottom/>
      <diagonal/>
    </border>
    <border>
      <left style="thin">
        <color rgb="FF1F3A5F"/>
      </left>
      <right style="thin">
        <color rgb="FF1F3A5F"/>
      </right>
      <top style="thin">
        <color rgb="FF1F3A5F"/>
      </top>
      <bottom style="thin">
        <color rgb="FF1F3A5F"/>
      </bottom>
      <diagonal/>
    </border>
    <border>
      <left/>
      <right/>
      <top/>
      <bottom style="medium">
        <color rgb="FF1F3A5F"/>
      </bottom>
      <diagonal/>
    </border>
    <border>
      <left style="thin">
        <color rgb="FFD6DBE0"/>
      </left>
      <right style="thin">
        <color rgb="FFD6DBE0"/>
      </right>
      <top style="thin">
        <color rgb="FFD6DBE0"/>
      </top>
      <bottom style="thin">
        <color rgb="FFD6DBE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4" fillId="0" borderId="0" xfId="0" applyFont="1" applyAlignment="1">
      <alignment vertical="center"/>
    </xf>
    <xf numFmtId="164" fontId="4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165" fontId="4" fillId="0" borderId="0" xfId="0" applyNumberFormat="1" applyFont="1" applyAlignment="1">
      <alignment vertical="center"/>
    </xf>
    <xf numFmtId="0" fontId="7" fillId="3" borderId="0" xfId="0" applyFont="1" applyFill="1" applyAlignment="1">
      <alignment horizontal="center" vertical="center"/>
    </xf>
    <xf numFmtId="0" fontId="8" fillId="0" borderId="0" xfId="0" applyFont="1" applyAlignment="1">
      <alignment horizontal="left"/>
    </xf>
    <xf numFmtId="0" fontId="9" fillId="2" borderId="1" xfId="0" applyFont="1" applyFill="1" applyBorder="1" applyAlignment="1">
      <alignment horizontal="center" vertical="center"/>
    </xf>
    <xf numFmtId="0" fontId="10" fillId="0" borderId="2" xfId="0" applyFont="1" applyBorder="1"/>
    <xf numFmtId="166" fontId="4" fillId="4" borderId="3" xfId="0" applyNumberFormat="1" applyFont="1" applyFill="1" applyBorder="1" applyAlignment="1">
      <alignment vertical="center"/>
    </xf>
    <xf numFmtId="0" fontId="11" fillId="0" borderId="0" xfId="0" applyFont="1" applyAlignment="1">
      <alignment vertical="top" wrapText="1"/>
    </xf>
    <xf numFmtId="164" fontId="4" fillId="4" borderId="3" xfId="0" applyNumberFormat="1" applyFont="1" applyFill="1" applyBorder="1" applyAlignment="1">
      <alignment vertical="center"/>
    </xf>
    <xf numFmtId="1" fontId="4" fillId="4" borderId="3" xfId="0" applyNumberFormat="1" applyFont="1" applyFill="1" applyBorder="1" applyAlignment="1">
      <alignment vertical="center"/>
    </xf>
    <xf numFmtId="0" fontId="5" fillId="0" borderId="0" xfId="0" applyFont="1" applyAlignment="1">
      <alignment vertical="center"/>
    </xf>
    <xf numFmtId="0" fontId="4" fillId="0" borderId="3" xfId="0" applyFont="1" applyBorder="1" applyAlignment="1">
      <alignment horizontal="left" vertical="center"/>
    </xf>
    <xf numFmtId="167" fontId="4" fillId="0" borderId="0" xfId="0" applyNumberFormat="1" applyFont="1" applyAlignment="1">
      <alignment vertical="center"/>
    </xf>
    <xf numFmtId="1" fontId="4" fillId="0" borderId="0" xfId="0" applyNumberFormat="1" applyFont="1" applyAlignment="1">
      <alignment vertical="center"/>
    </xf>
    <xf numFmtId="167" fontId="5" fillId="5" borderId="3" xfId="0" applyNumberFormat="1" applyFont="1" applyFill="1" applyBorder="1" applyAlignment="1">
      <alignment horizontal="center" vertical="center"/>
    </xf>
    <xf numFmtId="1" fontId="4" fillId="0" borderId="3" xfId="0" applyNumberFormat="1" applyFont="1" applyBorder="1" applyAlignment="1">
      <alignment horizontal="center" vertical="center"/>
    </xf>
    <xf numFmtId="167" fontId="4" fillId="0" borderId="3" xfId="0" applyNumberFormat="1" applyFont="1" applyBorder="1" applyAlignment="1">
      <alignment horizontal="center" vertical="center"/>
    </xf>
    <xf numFmtId="164" fontId="4" fillId="0" borderId="3" xfId="0" applyNumberFormat="1" applyFont="1" applyBorder="1" applyAlignment="1">
      <alignment horizontal="center" vertical="center"/>
    </xf>
    <xf numFmtId="0" fontId="5" fillId="5" borderId="3" xfId="0" applyFont="1" applyFill="1" applyBorder="1" applyAlignment="1">
      <alignment horizontal="left" vertical="center"/>
    </xf>
    <xf numFmtId="164" fontId="5" fillId="5" borderId="3" xfId="0" applyNumberFormat="1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168" fontId="4" fillId="0" borderId="0" xfId="0" applyNumberFormat="1" applyFont="1" applyAlignment="1">
      <alignment vertical="center"/>
    </xf>
    <xf numFmtId="0" fontId="1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D41"/>
  <sheetViews>
    <sheetView showGridLines="0" tabSelected="1" workbookViewId="0"/>
  </sheetViews>
  <sheetFormatPr defaultRowHeight="15"/>
  <cols>
    <col min="1" max="1" width="2.7109375" customWidth="1"/>
    <col min="2" max="2" width="40.7109375" customWidth="1"/>
    <col min="3" max="3" width="22.7109375" customWidth="1"/>
    <col min="4" max="4" width="50.7109375" customWidth="1"/>
    <col min="5" max="5" width="2.7109375" customWidth="1"/>
  </cols>
  <sheetData>
    <row r="2" spans="2:4" ht="36" customHeight="1">
      <c r="B2" s="1" t="s">
        <v>0</v>
      </c>
      <c r="C2" s="1"/>
      <c r="D2" s="1"/>
    </row>
    <row r="3" spans="2:4" ht="22" customHeight="1">
      <c r="B3" s="2" t="s">
        <v>1</v>
      </c>
      <c r="C3" s="2"/>
      <c r="D3" s="2"/>
    </row>
    <row r="5" spans="2:4" ht="18" customHeight="1">
      <c r="B5" s="3" t="s">
        <v>2</v>
      </c>
      <c r="C5" s="3"/>
      <c r="D5" s="3"/>
    </row>
    <row r="7" spans="2:4" ht="30" customHeight="1">
      <c r="B7" s="4" t="s">
        <v>3</v>
      </c>
      <c r="C7" s="4"/>
      <c r="D7" s="4"/>
    </row>
    <row r="8" spans="2:4" ht="30" customHeight="1">
      <c r="B8" s="4" t="s">
        <v>4</v>
      </c>
      <c r="C8" s="4"/>
      <c r="D8" s="4"/>
    </row>
    <row r="9" spans="2:4" ht="30" customHeight="1">
      <c r="B9" s="4" t="s">
        <v>5</v>
      </c>
      <c r="C9" s="4"/>
      <c r="D9" s="4"/>
    </row>
    <row r="10" spans="2:4" ht="30" customHeight="1">
      <c r="B10" s="4" t="s">
        <v>6</v>
      </c>
      <c r="C10" s="4"/>
      <c r="D10" s="4"/>
    </row>
    <row r="11" spans="2:4" ht="30" customHeight="1">
      <c r="B11" s="4" t="s">
        <v>7</v>
      </c>
      <c r="C11" s="4"/>
      <c r="D11" s="4"/>
    </row>
    <row r="13" spans="2:4" ht="18" customHeight="1">
      <c r="B13" s="3" t="s">
        <v>8</v>
      </c>
      <c r="C13" s="3"/>
      <c r="D13" s="3"/>
    </row>
    <row r="15" spans="2:4" ht="16" customHeight="1">
      <c r="B15" s="5" t="s">
        <v>9</v>
      </c>
      <c r="C15" s="4" t="s">
        <v>10</v>
      </c>
      <c r="D15" s="4"/>
    </row>
    <row r="16" spans="2:4" ht="16" customHeight="1">
      <c r="B16" s="5" t="s">
        <v>11</v>
      </c>
      <c r="C16" s="4" t="s">
        <v>12</v>
      </c>
      <c r="D16" s="4"/>
    </row>
    <row r="17" spans="2:4" ht="16" customHeight="1">
      <c r="B17" s="5" t="s">
        <v>13</v>
      </c>
      <c r="C17" s="4" t="s">
        <v>14</v>
      </c>
      <c r="D17" s="4"/>
    </row>
    <row r="18" spans="2:4" ht="16" customHeight="1">
      <c r="B18" s="5" t="s">
        <v>15</v>
      </c>
      <c r="C18" s="4" t="s">
        <v>16</v>
      </c>
      <c r="D18" s="4"/>
    </row>
    <row r="19" spans="2:4" ht="16" customHeight="1">
      <c r="B19" s="5" t="s">
        <v>17</v>
      </c>
      <c r="C19" s="4" t="s">
        <v>18</v>
      </c>
      <c r="D19" s="4"/>
    </row>
    <row r="20" spans="2:4" ht="16" customHeight="1">
      <c r="B20" s="5" t="s">
        <v>19</v>
      </c>
      <c r="C20" s="4" t="s">
        <v>20</v>
      </c>
      <c r="D20" s="4"/>
    </row>
    <row r="22" spans="2:4" ht="18" customHeight="1">
      <c r="B22" s="3" t="s">
        <v>21</v>
      </c>
      <c r="C22" s="3"/>
      <c r="D22" s="3"/>
    </row>
    <row r="23" spans="2:4" ht="16" customHeight="1">
      <c r="B23" s="6" t="s">
        <v>22</v>
      </c>
      <c r="C23" s="7">
        <f>Assumptions!C8</f>
        <v>0.0688</v>
      </c>
      <c r="D23" s="8" t="s">
        <v>23</v>
      </c>
    </row>
    <row r="24" spans="2:4" ht="16" customHeight="1">
      <c r="B24" s="6" t="s">
        <v>24</v>
      </c>
      <c r="C24" s="7">
        <f>Schedule!C6</f>
        <v>2887.2739811667425</v>
      </c>
      <c r="D24" s="8" t="s">
        <v>25</v>
      </c>
    </row>
    <row r="25" spans="2:4" ht="16" customHeight="1">
      <c r="B25" s="6" t="s">
        <v>26</v>
      </c>
      <c r="C25" s="7">
        <f>Schedule!C7</f>
        <v>3150.6812812280145</v>
      </c>
      <c r="D25" s="8" t="s">
        <v>27</v>
      </c>
    </row>
    <row r="26" spans="2:4" ht="16" customHeight="1">
      <c r="B26" s="6" t="s">
        <v>28</v>
      </c>
      <c r="C26" s="9">
        <f>Cash_Impact!C19</f>
        <v>0.0</v>
      </c>
      <c r="D26" s="8" t="s">
        <v>29</v>
      </c>
    </row>
    <row r="27" spans="2:4" ht="16" customHeight="1">
      <c r="B27" s="6" t="s">
        <v>30</v>
      </c>
      <c r="C27" s="9">
        <f>Cash_Impact!C20</f>
        <v>0.0</v>
      </c>
      <c r="D27" s="8" t="s">
        <v>31</v>
      </c>
    </row>
    <row r="28" spans="2:4" ht="16" customHeight="1">
      <c r="B28" s="6" t="s">
        <v>32</v>
      </c>
      <c r="C28" s="7">
        <f>Cash_Impact!P40</f>
        <v>37419.80152319409</v>
      </c>
      <c r="D28" s="8" t="s">
        <v>33</v>
      </c>
    </row>
    <row r="29" spans="2:4" ht="16" customHeight="1">
      <c r="B29" s="6" t="s">
        <v>34</v>
      </c>
      <c r="C29" s="7">
        <f>Cash_Impact!P47</f>
        <v>22319.0227368598</v>
      </c>
      <c r="D29" s="8" t="s">
        <v>35</v>
      </c>
    </row>
    <row r="30" spans="2:4" ht="16" customHeight="1">
      <c r="B30" s="6" t="s">
        <v>36</v>
      </c>
      <c r="C30" s="7">
        <f>Cash_Impact!P47-Cash_Impact!P40</f>
        <v>-15100.77878633429</v>
      </c>
      <c r="D30" s="8" t="s">
        <v>37</v>
      </c>
    </row>
    <row r="31" spans="2:4" ht="16" customHeight="1">
      <c r="B31" s="6" t="s">
        <v>38</v>
      </c>
      <c r="C31" s="7">
        <f>Cash_Impact!C30</f>
        <v>9624.24660388914</v>
      </c>
      <c r="D31" s="8" t="s">
        <v>39</v>
      </c>
    </row>
    <row r="33" spans="2:4" ht="20" customHeight="1">
      <c r="B33" s="3" t="s">
        <v>40</v>
      </c>
      <c r="C33" s="3"/>
      <c r="D33" s="3"/>
    </row>
    <row r="34" spans="2:4" ht="44" customHeight="1">
      <c r="B34" s="10" t="str">
        <f>IF(AND(Cash_Impact!C26="PASS",Cash_Impact!C27="PASS",Cash_Impact!C28="PASS"),"AFFORD","DO NOT AFFORD")</f>
        <v>DO NOT AFFORD</v>
      </c>
      <c r="C34"/>
      <c r="D34"/>
    </row>
    <row r="35" spans="2:4" ht="18" customHeight="1">
      <c r="B35" s="4" t="s">
        <v>41</v>
      </c>
      <c r="C35" s="4"/>
      <c r="D35" s="4"/>
    </row>
    <row r="41" spans="2:4" ht="14" customHeight="1">
      <c r="B41" s="11" t="s">
        <v>42</v>
      </c>
      <c r="C41" s="11"/>
      <c r="D41" s="11"/>
    </row>
  </sheetData>
  <mergeCells count="19">
    <mergeCell ref="B2:D2"/>
    <mergeCell ref="B3:D3"/>
    <mergeCell ref="B5:D5"/>
    <mergeCell ref="B7:D7"/>
    <mergeCell ref="B8:D8"/>
    <mergeCell ref="B9:D9"/>
    <mergeCell ref="B10:D10"/>
    <mergeCell ref="B11:D11"/>
    <mergeCell ref="B13:D13"/>
    <mergeCell ref="C15:D15"/>
    <mergeCell ref="C16:D16"/>
    <mergeCell ref="C17:D17"/>
    <mergeCell ref="C18:D18"/>
    <mergeCell ref="C19:D19"/>
    <mergeCell ref="C20:D20"/>
    <mergeCell ref="B22:D22"/>
    <mergeCell ref="B33:D33"/>
    <mergeCell ref="B35:D35"/>
    <mergeCell ref="B41:D4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47"/>
  <sheetViews>
    <sheetView showGridLines="0" workbookViewId="0"/>
  </sheetViews>
  <sheetFormatPr defaultRowHeight="15"/>
  <cols>
    <col min="1" max="1" width="2.7109375" customWidth="1"/>
    <col min="2" max="2" width="48.7109375" customWidth="1"/>
    <col min="3" max="3" width="18.7109375" customWidth="1"/>
    <col min="4" max="4" width="8.7109375" customWidth="1"/>
    <col min="5" max="5" width="70.7109375" customWidth="1"/>
    <col min="6" max="6" width="2.7109375" customWidth="1"/>
  </cols>
  <sheetData>
    <row r="2" spans="2:5" ht="32" customHeight="1">
      <c r="B2" s="1" t="s">
        <v>43</v>
      </c>
      <c r="C2" s="1"/>
      <c r="D2" s="1"/>
      <c r="E2" s="1"/>
    </row>
    <row r="3" spans="2:5" ht="18" customHeight="1">
      <c r="B3" s="2" t="s">
        <v>44</v>
      </c>
      <c r="C3" s="2"/>
      <c r="D3" s="2"/>
      <c r="E3" s="2"/>
    </row>
    <row r="5" spans="2:5" ht="18" customHeight="1">
      <c r="B5" s="12" t="s">
        <v>45</v>
      </c>
      <c r="C5" s="12" t="s">
        <v>46</v>
      </c>
      <c r="D5" s="12" t="s">
        <v>47</v>
      </c>
      <c r="E5" s="12" t="s">
        <v>48</v>
      </c>
    </row>
    <row r="6" spans="2:5" ht="18" customHeight="1">
      <c r="B6" s="13" t="s">
        <v>49</v>
      </c>
      <c r="C6" s="13"/>
      <c r="D6" s="13"/>
      <c r="E6" s="13"/>
    </row>
    <row r="7" spans="2:5">
      <c r="B7" s="6" t="s">
        <v>50</v>
      </c>
      <c r="C7" s="14">
        <v>0.0363</v>
      </c>
      <c r="D7" s="8" t="s">
        <v>51</v>
      </c>
      <c r="E7" s="15" t="s">
        <v>52</v>
      </c>
    </row>
    <row r="8" spans="2:5">
      <c r="B8" s="6" t="s">
        <v>53</v>
      </c>
      <c r="C8" s="14">
        <f>C7+C9</f>
        <v>0.0688</v>
      </c>
      <c r="D8" s="8" t="s">
        <v>51</v>
      </c>
      <c r="E8" s="15" t="s">
        <v>54</v>
      </c>
    </row>
    <row r="9" spans="2:5">
      <c r="B9" s="6" t="s">
        <v>55</v>
      </c>
      <c r="C9" s="14">
        <v>0.0325</v>
      </c>
      <c r="D9" s="8" t="s">
        <v>51</v>
      </c>
      <c r="E9" s="15" t="s">
        <v>56</v>
      </c>
    </row>
    <row r="10" spans="2:5">
      <c r="B10" s="6" t="s">
        <v>57</v>
      </c>
      <c r="C10" s="14">
        <f>C8+0.02</f>
        <v>0.0888</v>
      </c>
      <c r="D10" s="8" t="s">
        <v>51</v>
      </c>
      <c r="E10" s="15" t="s">
        <v>58</v>
      </c>
    </row>
    <row r="12" spans="2:5" ht="18" customHeight="1">
      <c r="B12" s="13" t="s">
        <v>59</v>
      </c>
      <c r="C12" s="13"/>
      <c r="D12" s="13"/>
      <c r="E12" s="13"/>
    </row>
    <row r="13" spans="2:5">
      <c r="B13" s="6" t="s">
        <v>60</v>
      </c>
      <c r="C13" s="16">
        <v>250000</v>
      </c>
      <c r="D13" s="8" t="s">
        <v>61</v>
      </c>
      <c r="E13" s="15" t="s">
        <v>62</v>
      </c>
    </row>
    <row r="14" spans="2:5">
      <c r="B14" s="6" t="s">
        <v>63</v>
      </c>
      <c r="C14" s="17">
        <v>10</v>
      </c>
      <c r="D14" s="8" t="s">
        <v>64</v>
      </c>
      <c r="E14" s="15" t="s">
        <v>65</v>
      </c>
    </row>
    <row r="15" spans="2:5">
      <c r="B15" s="6" t="s">
        <v>66</v>
      </c>
      <c r="C15" s="17">
        <v>12</v>
      </c>
      <c r="D15" s="8" t="s">
        <v>67</v>
      </c>
      <c r="E15" s="15" t="s">
        <v>68</v>
      </c>
    </row>
    <row r="16" spans="2:5">
      <c r="B16" s="6" t="s">
        <v>69</v>
      </c>
      <c r="C16" s="17">
        <v>5</v>
      </c>
      <c r="D16" s="8" t="s">
        <v>70</v>
      </c>
      <c r="E16" s="15" t="s">
        <v>71</v>
      </c>
    </row>
    <row r="18" spans="2:5" ht="18" customHeight="1">
      <c r="B18" s="13" t="s">
        <v>72</v>
      </c>
      <c r="C18" s="13"/>
      <c r="D18" s="13"/>
      <c r="E18" s="13"/>
    </row>
    <row r="19" spans="2:5">
      <c r="B19" s="6" t="s">
        <v>73</v>
      </c>
      <c r="C19" s="16">
        <v>62000</v>
      </c>
      <c r="D19" s="8" t="s">
        <v>61</v>
      </c>
      <c r="E19" s="15" t="s">
        <v>74</v>
      </c>
    </row>
    <row r="20" spans="2:5">
      <c r="B20" s="6" t="s">
        <v>75</v>
      </c>
      <c r="C20" s="9">
        <v>1.25</v>
      </c>
      <c r="D20" s="8" t="s">
        <v>76</v>
      </c>
      <c r="E20" s="15" t="s">
        <v>77</v>
      </c>
    </row>
    <row r="21" spans="2:5">
      <c r="B21" s="6" t="s">
        <v>78</v>
      </c>
      <c r="C21" s="16">
        <v>62860</v>
      </c>
      <c r="D21" s="8" t="s">
        <v>61</v>
      </c>
      <c r="E21" s="15" t="s">
        <v>79</v>
      </c>
    </row>
    <row r="22" spans="2:5">
      <c r="B22" s="6" t="s">
        <v>80</v>
      </c>
      <c r="C22" s="16">
        <v>0</v>
      </c>
      <c r="D22" s="8" t="s">
        <v>61</v>
      </c>
      <c r="E22" s="15" t="s">
        <v>81</v>
      </c>
    </row>
    <row r="23" spans="2:5">
      <c r="B23" s="18" t="s">
        <v>82</v>
      </c>
      <c r="C23" s="7">
        <f>MAX(C19-C21,0)</f>
        <v>0</v>
      </c>
      <c r="D23" s="8" t="s">
        <v>61</v>
      </c>
      <c r="E23" s="15" t="s">
        <v>83</v>
      </c>
    </row>
    <row r="25" spans="2:5" ht="18" customHeight="1">
      <c r="B25" s="13" t="s">
        <v>84</v>
      </c>
      <c r="C25" s="13"/>
      <c r="D25" s="13"/>
      <c r="E25" s="13"/>
    </row>
    <row r="26" spans="2:5">
      <c r="B26" s="6" t="s">
        <v>85</v>
      </c>
      <c r="C26" s="16">
        <v>40000</v>
      </c>
      <c r="D26" s="8" t="s">
        <v>61</v>
      </c>
      <c r="E26" s="15" t="s">
        <v>86</v>
      </c>
    </row>
    <row r="27" spans="2:5">
      <c r="B27" s="6" t="s">
        <v>87</v>
      </c>
      <c r="C27" s="7">
        <f>C19/4.333</f>
        <v>14308.792984075697</v>
      </c>
      <c r="D27" s="8" t="s">
        <v>61</v>
      </c>
      <c r="E27" s="15" t="s">
        <v>88</v>
      </c>
    </row>
    <row r="28" spans="2:5">
      <c r="B28" s="6" t="s">
        <v>89</v>
      </c>
      <c r="C28" s="7">
        <f>C21/4.333</f>
        <v>14507.269789983844</v>
      </c>
      <c r="D28" s="8" t="s">
        <v>61</v>
      </c>
      <c r="E28" s="15" t="s">
        <v>90</v>
      </c>
    </row>
    <row r="29" spans="2:5">
      <c r="B29" s="6" t="s">
        <v>91</v>
      </c>
      <c r="C29" s="14">
        <v>0.15</v>
      </c>
      <c r="D29" s="8" t="s">
        <v>51</v>
      </c>
      <c r="E29" s="15" t="s">
        <v>92</v>
      </c>
    </row>
    <row r="30" spans="2:5">
      <c r="B30" s="6" t="s">
        <v>93</v>
      </c>
      <c r="C30" s="17">
        <v>8</v>
      </c>
      <c r="D30" s="8" t="s">
        <v>94</v>
      </c>
      <c r="E30" s="15" t="s">
        <v>95</v>
      </c>
    </row>
    <row r="32" spans="2:5" ht="18" customHeight="1">
      <c r="B32" s="13" t="s">
        <v>96</v>
      </c>
      <c r="C32" s="13"/>
      <c r="D32" s="13"/>
      <c r="E32" s="13"/>
    </row>
    <row r="33" spans="2:5">
      <c r="B33" s="6" t="s">
        <v>97</v>
      </c>
      <c r="C33" s="14">
        <v>0.7</v>
      </c>
      <c r="D33" s="8" t="s">
        <v>51</v>
      </c>
      <c r="E33" s="15" t="s">
        <v>98</v>
      </c>
    </row>
    <row r="34" spans="2:5">
      <c r="B34" s="18" t="s">
        <v>99</v>
      </c>
      <c r="C34" s="7">
        <f>Schedule!C6</f>
        <v>2887.2739811667425</v>
      </c>
      <c r="D34" s="8" t="s">
        <v>61</v>
      </c>
      <c r="E34" s="15" t="s">
        <v>100</v>
      </c>
    </row>
    <row r="37" spans="2:5" ht="18" customHeight="1">
      <c r="B37" s="13" t="s">
        <v>101</v>
      </c>
      <c r="C37" s="13"/>
      <c r="D37" s="13"/>
      <c r="E37" s="13"/>
    </row>
    <row r="38" spans="2:5">
      <c r="B38" s="4" t="s">
        <v>102</v>
      </c>
      <c r="C38" s="4"/>
      <c r="D38" s="4"/>
      <c r="E38" s="4"/>
    </row>
    <row r="39" spans="2:5">
      <c r="B39" s="12" t="s">
        <v>103</v>
      </c>
      <c r="C39" s="12" t="s">
        <v>104</v>
      </c>
      <c r="D39" s="12" t="s">
        <v>105</v>
      </c>
      <c r="E39" s="12" t="s">
        <v>106</v>
      </c>
    </row>
    <row r="40" spans="2:5">
      <c r="B40" s="19" t="s">
        <v>107</v>
      </c>
      <c r="C40" s="19" t="s">
        <v>108</v>
      </c>
      <c r="D40" s="19" t="s">
        <v>109</v>
      </c>
      <c r="E40" s="19" t="s">
        <v>110</v>
      </c>
    </row>
    <row r="41" spans="2:5">
      <c r="B41" s="19" t="s">
        <v>111</v>
      </c>
      <c r="C41" s="19" t="s">
        <v>112</v>
      </c>
      <c r="D41" s="19" t="s">
        <v>113</v>
      </c>
      <c r="E41" s="19" t="s">
        <v>110</v>
      </c>
    </row>
    <row r="42" spans="2:5">
      <c r="B42" s="19" t="s">
        <v>114</v>
      </c>
      <c r="C42" s="19" t="s">
        <v>108</v>
      </c>
      <c r="D42" s="19" t="s">
        <v>115</v>
      </c>
      <c r="E42" s="19" t="s">
        <v>116</v>
      </c>
    </row>
    <row r="43" spans="2:5">
      <c r="B43" s="19" t="s">
        <v>117</v>
      </c>
      <c r="C43" s="19" t="s">
        <v>108</v>
      </c>
      <c r="D43" s="19" t="s">
        <v>118</v>
      </c>
      <c r="E43" s="19" t="s">
        <v>119</v>
      </c>
    </row>
    <row r="46" spans="2:5" ht="14" customHeight="1"/>
    <row r="47" spans="2:5">
      <c r="B47" s="11" t="s">
        <v>42</v>
      </c>
      <c r="C47" s="11"/>
      <c r="D47" s="11"/>
      <c r="E47" s="11"/>
    </row>
  </sheetData>
  <mergeCells count="10">
    <mergeCell ref="B2:E2"/>
    <mergeCell ref="B3:E3"/>
    <mergeCell ref="B6:E6"/>
    <mergeCell ref="B12:E12"/>
    <mergeCell ref="B18:E18"/>
    <mergeCell ref="B25:E25"/>
    <mergeCell ref="B32:E32"/>
    <mergeCell ref="B37:E37"/>
    <mergeCell ref="B38:E38"/>
    <mergeCell ref="B47:E4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F142"/>
  <sheetViews>
    <sheetView showGridLines="0" workbookViewId="0"/>
  </sheetViews>
  <sheetFormatPr defaultRowHeight="15"/>
  <cols>
    <col min="1" max="1" width="2.7109375" customWidth="1"/>
    <col min="2" max="2" width="36.7109375" customWidth="1"/>
    <col min="3" max="6" width="18.7109375" customWidth="1"/>
    <col min="7" max="7" width="2.7109375" customWidth="1"/>
  </cols>
  <sheetData>
    <row r="2" spans="2:6" ht="32" customHeight="1">
      <c r="B2" s="1" t="s">
        <v>120</v>
      </c>
      <c r="C2" s="1"/>
      <c r="D2" s="1"/>
      <c r="E2" s="1"/>
      <c r="F2" s="1"/>
    </row>
    <row r="3" spans="2:6" ht="18" customHeight="1">
      <c r="B3" s="2" t="s">
        <v>121</v>
      </c>
      <c r="C3" s="2"/>
      <c r="D3" s="2"/>
      <c r="E3" s="2"/>
      <c r="F3" s="2"/>
    </row>
    <row r="5" spans="2:6" ht="18" customHeight="1">
      <c r="B5" s="12" t="s">
        <v>45</v>
      </c>
      <c r="C5" s="12" t="s">
        <v>46</v>
      </c>
      <c r="D5" s="12" t="s">
        <v>122</v>
      </c>
    </row>
    <row r="6" spans="2:6">
      <c r="B6" s="6" t="s">
        <v>123</v>
      </c>
      <c r="C6" s="20">
        <f>-PMT(Assumptions!C8/Assumptions!C15, Assumptions!C14*Assumptions!C15, Assumptions!C13)</f>
        <v>2887.2739811667425</v>
      </c>
      <c r="D6" s="8" t="s">
        <v>124</v>
      </c>
    </row>
    <row r="7" spans="2:6">
      <c r="B7" s="6" t="s">
        <v>26</v>
      </c>
      <c r="C7" s="20">
        <f>-PMT(Assumptions!C10/Assumptions!C15, Assumptions!C14*Assumptions!C15, Assumptions!C13)</f>
        <v>3150.6812812280145</v>
      </c>
      <c r="D7" s="8" t="s">
        <v>124</v>
      </c>
    </row>
    <row r="8" spans="2:6">
      <c r="B8" s="6" t="s">
        <v>125</v>
      </c>
      <c r="C8" s="21">
        <f>Assumptions!C14*Assumptions!C15</f>
        <v>120</v>
      </c>
      <c r="D8" s="8" t="s">
        <v>126</v>
      </c>
    </row>
    <row r="9" spans="2:6">
      <c r="B9" s="18" t="s">
        <v>127</v>
      </c>
      <c r="C9" s="22">
        <f>C6*C8</f>
        <v>346472.8777400091</v>
      </c>
      <c r="D9" s="8" t="s">
        <v>61</v>
      </c>
    </row>
    <row r="10" spans="2:6">
      <c r="B10" s="18" t="s">
        <v>128</v>
      </c>
      <c r="C10" s="22">
        <f>C9-Assumptions!C13</f>
        <v>96472.8777400091</v>
      </c>
      <c r="D10" s="8" t="s">
        <v>61</v>
      </c>
    </row>
    <row r="11" spans="2:6">
      <c r="B11" s="6" t="s">
        <v>129</v>
      </c>
      <c r="C11" s="14">
        <f>((1+Assumptions!C8/Assumptions!C15)^Assumptions!C15)-1</f>
        <v>0.07101149455326472</v>
      </c>
      <c r="D11" s="8" t="s">
        <v>130</v>
      </c>
    </row>
    <row r="14" spans="2:6" ht="18" customHeight="1">
      <c r="B14" s="13" t="s">
        <v>131</v>
      </c>
      <c r="C14" s="13"/>
      <c r="D14" s="13"/>
      <c r="E14" s="13"/>
      <c r="F14" s="13"/>
    </row>
    <row r="15" spans="2:6">
      <c r="B15" s="12" t="s">
        <v>132</v>
      </c>
      <c r="C15" s="12" t="s">
        <v>133</v>
      </c>
      <c r="D15" s="12" t="s">
        <v>134</v>
      </c>
      <c r="E15" s="12" t="s">
        <v>135</v>
      </c>
      <c r="F15" s="12" t="s">
        <v>136</v>
      </c>
    </row>
    <row r="17" spans="2:6" ht="14" customHeight="1">
      <c r="B17" s="23">
        <v>1</v>
      </c>
      <c r="C17" s="24">
        <f>$C$6</f>
        <v>2887.2739811667425</v>
      </c>
      <c r="D17" s="25">
        <f>Assumptions!C13*Assumptions!C8/Assumptions!C15</f>
        <v>1433.3333333333333</v>
      </c>
      <c r="E17" s="25">
        <f>C17-D17</f>
        <v>1453.9406478334092</v>
      </c>
      <c r="F17" s="24">
        <f>Assumptions!C13-E17</f>
        <v>248546.0593521666</v>
      </c>
    </row>
    <row r="18" spans="2:6" ht="14" customHeight="1">
      <c r="B18" s="23">
        <v>2</v>
      </c>
      <c r="C18" s="24">
        <f>$C$6</f>
        <v>2887.2739811667425</v>
      </c>
      <c r="D18" s="25">
        <f>F17*Assumptions!C8/Assumptions!C15</f>
        <v>1424.9974069524217</v>
      </c>
      <c r="E18" s="25">
        <f>C18-D18</f>
        <v>1462.2765742143208</v>
      </c>
      <c r="F18" s="24">
        <f>F17-E18</f>
        <v>247083.7827779523</v>
      </c>
    </row>
    <row r="19" spans="2:6" ht="14" customHeight="1">
      <c r="B19" s="23">
        <v>3</v>
      </c>
      <c r="C19" s="24">
        <f>$C$6</f>
        <v>2887.2739811667425</v>
      </c>
      <c r="D19" s="25">
        <f>F18*Assumptions!C8/Assumptions!C15</f>
        <v>1416.6136879269263</v>
      </c>
      <c r="E19" s="25">
        <f>C19-D19</f>
        <v>1470.6602932398162</v>
      </c>
      <c r="F19" s="24">
        <f>F18-E19</f>
        <v>245613.12248471248</v>
      </c>
    </row>
    <row r="20" spans="2:6" ht="14" customHeight="1">
      <c r="B20" s="23">
        <v>4</v>
      </c>
      <c r="C20" s="24">
        <f>$C$6</f>
        <v>2887.2739811667425</v>
      </c>
      <c r="D20" s="25">
        <f>F19*Assumptions!C8/Assumptions!C15</f>
        <v>1408.1819022456848</v>
      </c>
      <c r="E20" s="25">
        <f>C20-D20</f>
        <v>1479.0920789210577</v>
      </c>
      <c r="F20" s="24">
        <f>F19-E20</f>
        <v>244134.03040579142</v>
      </c>
    </row>
    <row r="21" spans="2:6" ht="14" customHeight="1">
      <c r="B21" s="23">
        <v>5</v>
      </c>
      <c r="C21" s="24">
        <f>$C$6</f>
        <v>2887.2739811667425</v>
      </c>
      <c r="D21" s="25">
        <f>F20*Assumptions!C8/Assumptions!C15</f>
        <v>1399.7017743265376</v>
      </c>
      <c r="E21" s="25">
        <f>C21-D21</f>
        <v>1487.572206840205</v>
      </c>
      <c r="F21" s="24">
        <f>F20-E21</f>
        <v>242646.4581989512</v>
      </c>
    </row>
    <row r="22" spans="2:6" ht="14" customHeight="1">
      <c r="B22" s="23">
        <v>6</v>
      </c>
      <c r="C22" s="24">
        <f>$C$6</f>
        <v>2887.2739811667425</v>
      </c>
      <c r="D22" s="25">
        <f>F21*Assumptions!C8/Assumptions!C15</f>
        <v>1391.1730270073203</v>
      </c>
      <c r="E22" s="25">
        <f>C22-D22</f>
        <v>1496.1009541594221</v>
      </c>
      <c r="F22" s="24">
        <f>F21-E22</f>
        <v>241150.35724479178</v>
      </c>
    </row>
    <row r="23" spans="2:6" ht="14" customHeight="1">
      <c r="B23" s="23">
        <v>7</v>
      </c>
      <c r="C23" s="24">
        <f>$C$6</f>
        <v>2887.2739811667425</v>
      </c>
      <c r="D23" s="25">
        <f>F22*Assumptions!C8/Assumptions!C15</f>
        <v>1382.5953815368064</v>
      </c>
      <c r="E23" s="25">
        <f>C23-D23</f>
        <v>1504.6785996299361</v>
      </c>
      <c r="F23" s="24">
        <f>F22-E23</f>
        <v>239645.67864516185</v>
      </c>
    </row>
    <row r="24" spans="2:6" ht="14" customHeight="1">
      <c r="B24" s="23">
        <v>8</v>
      </c>
      <c r="C24" s="24">
        <f>$C$6</f>
        <v>2887.2739811667425</v>
      </c>
      <c r="D24" s="25">
        <f>F23*Assumptions!C8/Assumptions!C15</f>
        <v>1373.9685575655947</v>
      </c>
      <c r="E24" s="25">
        <f>C24-D24</f>
        <v>1513.3054236011478</v>
      </c>
      <c r="F24" s="24">
        <f>F23-E24</f>
        <v>238132.3732215607</v>
      </c>
    </row>
    <row r="25" spans="2:6" ht="14" customHeight="1">
      <c r="B25" s="23">
        <v>9</v>
      </c>
      <c r="C25" s="24">
        <f>$C$6</f>
        <v>2887.2739811667425</v>
      </c>
      <c r="D25" s="25">
        <f>F24*Assumptions!C8/Assumptions!C15</f>
        <v>1365.292273136948</v>
      </c>
      <c r="E25" s="25">
        <f>C25-D25</f>
        <v>1521.9817080297944</v>
      </c>
      <c r="F25" s="24">
        <f>F24-E25</f>
        <v>236610.39151353092</v>
      </c>
    </row>
    <row r="26" spans="2:6" ht="14" customHeight="1">
      <c r="B26" s="23">
        <v>10</v>
      </c>
      <c r="C26" s="24">
        <f>$C$6</f>
        <v>2887.2739811667425</v>
      </c>
      <c r="D26" s="25">
        <f>F25*Assumptions!C8/Assumptions!C15</f>
        <v>1356.5662446775773</v>
      </c>
      <c r="E26" s="25">
        <f>C26-D26</f>
        <v>1530.7077364891652</v>
      </c>
      <c r="F26" s="24">
        <f>F25-E26</f>
        <v>235079.68377704176</v>
      </c>
    </row>
    <row r="27" spans="2:6" ht="14" customHeight="1">
      <c r="B27" s="23">
        <v>11</v>
      </c>
      <c r="C27" s="24">
        <f>$C$6</f>
        <v>2887.2739811667425</v>
      </c>
      <c r="D27" s="25">
        <f>F26*Assumptions!C8/Assumptions!C15</f>
        <v>1347.7901869883729</v>
      </c>
      <c r="E27" s="25">
        <f>C27-D27</f>
        <v>1539.4837941783696</v>
      </c>
      <c r="F27" s="24">
        <f>F26-E27</f>
        <v>233540.19998286339</v>
      </c>
    </row>
    <row r="28" spans="2:6" ht="14" customHeight="1">
      <c r="B28" s="23">
        <v>12</v>
      </c>
      <c r="C28" s="24">
        <f>$C$6</f>
        <v>2887.2739811667425</v>
      </c>
      <c r="D28" s="25">
        <f>F27*Assumptions!C8/Assumptions!C15</f>
        <v>1338.9638132350835</v>
      </c>
      <c r="E28" s="25">
        <f>C28-D28</f>
        <v>1548.310167931659</v>
      </c>
      <c r="F28" s="24">
        <f>F27-E28</f>
        <v>231991.88981493172</v>
      </c>
    </row>
    <row r="29" spans="2:6" ht="14" customHeight="1">
      <c r="B29" s="23">
        <v>13</v>
      </c>
      <c r="C29" s="24">
        <f>$C$6</f>
        <v>2887.2739811667425</v>
      </c>
      <c r="D29" s="25">
        <f>F28*Assumptions!C8/Assumptions!C15</f>
        <v>1330.0868349389418</v>
      </c>
      <c r="E29" s="25">
        <f>C29-D29</f>
        <v>1557.1871462278007</v>
      </c>
      <c r="F29" s="24">
        <f>F28-E29</f>
        <v>230434.70266870392</v>
      </c>
    </row>
    <row r="30" spans="2:6" ht="14" customHeight="1">
      <c r="B30" s="23">
        <v>14</v>
      </c>
      <c r="C30" s="24">
        <f>$C$6</f>
        <v>2887.2739811667425</v>
      </c>
      <c r="D30" s="25">
        <f>F29*Assumptions!C8/Assumptions!C15</f>
        <v>1321.1589619672357</v>
      </c>
      <c r="E30" s="25">
        <f>C30-D30</f>
        <v>1566.1150191995068</v>
      </c>
      <c r="F30" s="24">
        <f>F29-E30</f>
        <v>228868.58764950442</v>
      </c>
    </row>
    <row r="31" spans="2:6" ht="14" customHeight="1">
      <c r="B31" s="23">
        <v>15</v>
      </c>
      <c r="C31" s="24">
        <f>$C$6</f>
        <v>2887.2739811667425</v>
      </c>
      <c r="D31" s="25">
        <f>F30*Assumptions!C8/Assumptions!C15</f>
        <v>1312.1799025238254</v>
      </c>
      <c r="E31" s="25">
        <f>C31-D31</f>
        <v>1575.094078642917</v>
      </c>
      <c r="F31" s="24">
        <f>F30-E31</f>
        <v>227293.4935708615</v>
      </c>
    </row>
    <row r="32" spans="2:6" ht="14" customHeight="1">
      <c r="B32" s="23">
        <v>16</v>
      </c>
      <c r="C32" s="24">
        <f>$C$6</f>
        <v>2887.2739811667425</v>
      </c>
      <c r="D32" s="25">
        <f>F31*Assumptions!C8/Assumptions!C15</f>
        <v>1303.1493631396058</v>
      </c>
      <c r="E32" s="25">
        <f>C32-D32</f>
        <v>1584.1246180271366</v>
      </c>
      <c r="F32" s="24">
        <f>F31-E32</f>
        <v>225709.36895283437</v>
      </c>
    </row>
    <row r="33" spans="2:6" ht="14" customHeight="1">
      <c r="B33" s="23">
        <v>17</v>
      </c>
      <c r="C33" s="24">
        <f>$C$6</f>
        <v>2887.2739811667425</v>
      </c>
      <c r="D33" s="25">
        <f>F32*Assumptions!C8/Assumptions!C15</f>
        <v>1294.0670486629172</v>
      </c>
      <c r="E33" s="25">
        <f>C33-D33</f>
        <v>1593.2069325038253</v>
      </c>
      <c r="F33" s="24">
        <f>F32-E33</f>
        <v>224116.16202033055</v>
      </c>
    </row>
    <row r="34" spans="2:6" ht="14" customHeight="1">
      <c r="B34" s="23">
        <v>18</v>
      </c>
      <c r="C34" s="24">
        <f>$C$6</f>
        <v>2887.2739811667425</v>
      </c>
      <c r="D34" s="25">
        <f>F33*Assumptions!C8/Assumptions!C15</f>
        <v>1284.9326622498952</v>
      </c>
      <c r="E34" s="25">
        <f>C34-D34</f>
        <v>1602.3413189168473</v>
      </c>
      <c r="F34" s="24">
        <f>F33-E34</f>
        <v>222513.8207014137</v>
      </c>
    </row>
    <row r="35" spans="2:6" ht="14" customHeight="1">
      <c r="B35" s="23">
        <v>19</v>
      </c>
      <c r="C35" s="24">
        <f>$C$6</f>
        <v>2887.2739811667425</v>
      </c>
      <c r="D35" s="25">
        <f>F34*Assumptions!C8/Assumptions!C15</f>
        <v>1275.7459053547718</v>
      </c>
      <c r="E35" s="25">
        <f>C35-D35</f>
        <v>1611.5280758119707</v>
      </c>
      <c r="F35" s="24">
        <f>F34-E35</f>
        <v>220902.29262560172</v>
      </c>
    </row>
    <row r="36" spans="2:6" ht="14" customHeight="1">
      <c r="B36" s="23">
        <v>20</v>
      </c>
      <c r="C36" s="24">
        <f>$C$6</f>
        <v>2887.2739811667425</v>
      </c>
      <c r="D36" s="25">
        <f>F35*Assumptions!C8/Assumptions!C15</f>
        <v>1266.5064777201167</v>
      </c>
      <c r="E36" s="25">
        <f>C36-D36</f>
        <v>1620.7675034466258</v>
      </c>
      <c r="F36" s="24">
        <f>F35-E36</f>
        <v>219281.5251221551</v>
      </c>
    </row>
    <row r="37" spans="2:6" ht="14" customHeight="1">
      <c r="B37" s="23">
        <v>21</v>
      </c>
      <c r="C37" s="24">
        <f>$C$6</f>
        <v>2887.2739811667425</v>
      </c>
      <c r="D37" s="25">
        <f>F36*Assumptions!C8/Assumptions!C15</f>
        <v>1257.2140773670224</v>
      </c>
      <c r="E37" s="25">
        <f>C37-D37</f>
        <v>1630.0599037997201</v>
      </c>
      <c r="F37" s="24">
        <f>F36-E37</f>
        <v>217651.46521835536</v>
      </c>
    </row>
    <row r="38" spans="2:6" ht="14" customHeight="1">
      <c r="B38" s="23">
        <v>22</v>
      </c>
      <c r="C38" s="24">
        <f>$C$6</f>
        <v>2887.2739811667425</v>
      </c>
      <c r="D38" s="25">
        <f>F37*Assumptions!C8/Assumptions!C15</f>
        <v>1247.8684005852374</v>
      </c>
      <c r="E38" s="25">
        <f>C38-D38</f>
        <v>1639.405580581505</v>
      </c>
      <c r="F38" s="24">
        <f>F37-E38</f>
        <v>216012.05963777384</v>
      </c>
    </row>
    <row r="39" spans="2:6" ht="14" customHeight="1">
      <c r="B39" s="23">
        <v>23</v>
      </c>
      <c r="C39" s="24">
        <f>$C$6</f>
        <v>2887.2739811667425</v>
      </c>
      <c r="D39" s="25">
        <f>F38*Assumptions!C8/Assumptions!C15</f>
        <v>1238.4691419232367</v>
      </c>
      <c r="E39" s="25">
        <f>C39-D39</f>
        <v>1648.8048392435057</v>
      </c>
      <c r="F39" s="24">
        <f>F38-E39</f>
        <v>214363.25479853034</v>
      </c>
    </row>
    <row r="40" spans="2:6" ht="14" customHeight="1">
      <c r="B40" s="23">
        <v>24</v>
      </c>
      <c r="C40" s="24">
        <f>$C$6</f>
        <v>2887.2739811667425</v>
      </c>
      <c r="D40" s="25">
        <f>F39*Assumptions!C8/Assumptions!C15</f>
        <v>1229.0159941782406</v>
      </c>
      <c r="E40" s="25">
        <f>C40-D40</f>
        <v>1658.257986988502</v>
      </c>
      <c r="F40" s="24">
        <f>F39-E40</f>
        <v>212704.99681154185</v>
      </c>
    </row>
    <row r="41" spans="2:6" ht="14" customHeight="1">
      <c r="B41" s="23">
        <v>25</v>
      </c>
      <c r="C41" s="24">
        <f>$C$6</f>
        <v>2887.2739811667425</v>
      </c>
      <c r="D41" s="25">
        <f>F40*Assumptions!C8/Assumptions!C15</f>
        <v>1219.5086483861733</v>
      </c>
      <c r="E41" s="25">
        <f>C41-D41</f>
        <v>1667.7653327805692</v>
      </c>
      <c r="F41" s="24">
        <f>F40-E41</f>
        <v>211037.23147876127</v>
      </c>
    </row>
    <row r="42" spans="2:6" ht="14" customHeight="1">
      <c r="B42" s="23">
        <v>26</v>
      </c>
      <c r="C42" s="24">
        <f>$C$6</f>
        <v>2887.2739811667425</v>
      </c>
      <c r="D42" s="25">
        <f>F41*Assumptions!C8/Assumptions!C15</f>
        <v>1209.9467938115647</v>
      </c>
      <c r="E42" s="25">
        <f>C42-D42</f>
        <v>1677.3271873551778</v>
      </c>
      <c r="F42" s="24">
        <f>F41-E42</f>
        <v>209359.9042914061</v>
      </c>
    </row>
    <row r="43" spans="2:6" ht="14" customHeight="1">
      <c r="B43" s="23">
        <v>27</v>
      </c>
      <c r="C43" s="24">
        <f>$C$6</f>
        <v>2887.2739811667425</v>
      </c>
      <c r="D43" s="25">
        <f>F42*Assumptions!C8/Assumptions!C15</f>
        <v>1200.330117937395</v>
      </c>
      <c r="E43" s="25">
        <f>C43-D43</f>
        <v>1686.9438632293475</v>
      </c>
      <c r="F43" s="24">
        <f>F42-E43</f>
        <v>207672.96042817674</v>
      </c>
    </row>
    <row r="44" spans="2:6" ht="14" customHeight="1">
      <c r="B44" s="23">
        <v>28</v>
      </c>
      <c r="C44" s="24">
        <f>$C$6</f>
        <v>2887.2739811667425</v>
      </c>
      <c r="D44" s="25">
        <f>F43*Assumptions!C8/Assumptions!C15</f>
        <v>1190.65830645488</v>
      </c>
      <c r="E44" s="25">
        <f>C44-D44</f>
        <v>1696.6156747118625</v>
      </c>
      <c r="F44" s="24">
        <f>F43-E44</f>
        <v>205976.3447534649</v>
      </c>
    </row>
    <row r="45" spans="2:6" ht="14" customHeight="1">
      <c r="B45" s="23">
        <v>29</v>
      </c>
      <c r="C45" s="24">
        <f>$C$6</f>
        <v>2887.2739811667425</v>
      </c>
      <c r="D45" s="25">
        <f>F44*Assumptions!C8/Assumptions!C15</f>
        <v>1180.9310432531986</v>
      </c>
      <c r="E45" s="25">
        <f>C45-D45</f>
        <v>1706.342937913544</v>
      </c>
      <c r="F45" s="24">
        <f>F44-E45</f>
        <v>204270.00181555134</v>
      </c>
    </row>
    <row r="46" spans="2:6" ht="14" customHeight="1">
      <c r="B46" s="23">
        <v>30</v>
      </c>
      <c r="C46" s="24">
        <f>$C$6</f>
        <v>2887.2739811667425</v>
      </c>
      <c r="D46" s="25">
        <f>F45*Assumptions!C8/Assumptions!C15</f>
        <v>1171.1480104091609</v>
      </c>
      <c r="E46" s="25">
        <f>C46-D46</f>
        <v>1716.1259707575816</v>
      </c>
      <c r="F46" s="24">
        <f>F45-E46</f>
        <v>202553.87584479374</v>
      </c>
    </row>
    <row r="47" spans="2:6" ht="14" customHeight="1">
      <c r="B47" s="23">
        <v>31</v>
      </c>
      <c r="C47" s="24">
        <f>$C$6</f>
        <v>2887.2739811667425</v>
      </c>
      <c r="D47" s="25">
        <f>F46*Assumptions!C8/Assumptions!C15</f>
        <v>1161.3088881768174</v>
      </c>
      <c r="E47" s="25">
        <f>C47-D47</f>
        <v>1725.965092989925</v>
      </c>
      <c r="F47" s="24">
        <f>F46-E47</f>
        <v>200827.9107518038</v>
      </c>
    </row>
    <row r="48" spans="2:6" ht="14" customHeight="1">
      <c r="B48" s="23">
        <v>32</v>
      </c>
      <c r="C48" s="24">
        <f>$C$6</f>
        <v>2887.2739811667425</v>
      </c>
      <c r="D48" s="25">
        <f>F47*Assumptions!C8/Assumptions!C15</f>
        <v>1151.4133549770086</v>
      </c>
      <c r="E48" s="25">
        <f>C48-D48</f>
        <v>1735.860626189734</v>
      </c>
      <c r="F48" s="24">
        <f>F47-E48</f>
        <v>199092.05012561407</v>
      </c>
    </row>
    <row r="49" spans="2:6" ht="14" customHeight="1">
      <c r="B49" s="23">
        <v>33</v>
      </c>
      <c r="C49" s="24">
        <f>$C$6</f>
        <v>2887.2739811667425</v>
      </c>
      <c r="D49" s="25">
        <f>F48*Assumptions!C8/Assumptions!C15</f>
        <v>1141.461087386854</v>
      </c>
      <c r="E49" s="25">
        <f>C49-D49</f>
        <v>1745.8128937798886</v>
      </c>
      <c r="F49" s="24">
        <f>F48-E49</f>
        <v>197346.23723183418</v>
      </c>
    </row>
    <row r="50" spans="2:6" ht="14" customHeight="1">
      <c r="B50" s="23">
        <v>34</v>
      </c>
      <c r="C50" s="24">
        <f>$C$6</f>
        <v>2887.2739811667425</v>
      </c>
      <c r="D50" s="25">
        <f>F49*Assumptions!C8/Assumptions!C15</f>
        <v>1131.4517601291825</v>
      </c>
      <c r="E50" s="25">
        <f>C50-D50</f>
        <v>1755.82222103756</v>
      </c>
      <c r="F50" s="24">
        <f>F49-E50</f>
        <v>195590.41501079663</v>
      </c>
    </row>
    <row r="51" spans="2:6" ht="14" customHeight="1">
      <c r="B51" s="23">
        <v>35</v>
      </c>
      <c r="C51" s="24">
        <f>$C$6</f>
        <v>2887.2739811667425</v>
      </c>
      <c r="D51" s="25">
        <f>F50*Assumptions!C8/Assumptions!C15</f>
        <v>1121.3850460619008</v>
      </c>
      <c r="E51" s="25">
        <f>C51-D51</f>
        <v>1765.8889351048417</v>
      </c>
      <c r="F51" s="24">
        <f>F50-E51</f>
        <v>193824.5260756918</v>
      </c>
    </row>
    <row r="52" spans="2:6" ht="14" customHeight="1">
      <c r="B52" s="23">
        <v>36</v>
      </c>
      <c r="C52" s="24">
        <f>$C$6</f>
        <v>2887.2739811667425</v>
      </c>
      <c r="D52" s="25">
        <f>F51*Assumptions!C8/Assumptions!C15</f>
        <v>1111.2606161672995</v>
      </c>
      <c r="E52" s="25">
        <f>C52-D52</f>
        <v>1776.013364999443</v>
      </c>
      <c r="F52" s="24">
        <f>F51-E52</f>
        <v>192048.51271069236</v>
      </c>
    </row>
    <row r="53" spans="2:6" ht="14" customHeight="1">
      <c r="B53" s="23">
        <v>37</v>
      </c>
      <c r="C53" s="24">
        <f>$C$6</f>
        <v>2887.2739811667425</v>
      </c>
      <c r="D53" s="25">
        <f>F52*Assumptions!C8/Assumptions!C15</f>
        <v>1101.078139541303</v>
      </c>
      <c r="E53" s="25">
        <f>C53-D53</f>
        <v>1786.1958416254395</v>
      </c>
      <c r="F53" s="24">
        <f>F52-E53</f>
        <v>190262.3168690669</v>
      </c>
    </row>
    <row r="54" spans="2:6" ht="14" customHeight="1">
      <c r="B54" s="23">
        <v>38</v>
      </c>
      <c r="C54" s="24">
        <f>$C$6</f>
        <v>2887.2739811667425</v>
      </c>
      <c r="D54" s="25">
        <f>F53*Assumptions!C8/Assumptions!C15</f>
        <v>1090.8372833826504</v>
      </c>
      <c r="E54" s="25">
        <f>C54-D54</f>
        <v>1796.436697784092</v>
      </c>
      <c r="F54" s="24">
        <f>F53-E54</f>
        <v>188465.88017128283</v>
      </c>
    </row>
    <row r="55" spans="2:6" ht="14" customHeight="1">
      <c r="B55" s="23">
        <v>39</v>
      </c>
      <c r="C55" s="24">
        <f>$C$6</f>
        <v>2887.2739811667425</v>
      </c>
      <c r="D55" s="25">
        <f>F54*Assumptions!C8/Assumptions!C15</f>
        <v>1080.5377129820215</v>
      </c>
      <c r="E55" s="25">
        <f>C55-D55</f>
        <v>1806.736268184721</v>
      </c>
      <c r="F55" s="24">
        <f>F54-E55</f>
        <v>186659.1439030981</v>
      </c>
    </row>
    <row r="56" spans="2:6" ht="14" customHeight="1">
      <c r="B56" s="23">
        <v>40</v>
      </c>
      <c r="C56" s="24">
        <f>$C$6</f>
        <v>2887.2739811667425</v>
      </c>
      <c r="D56" s="25">
        <f>F55*Assumptions!C8/Assumptions!C15</f>
        <v>1070.179091711096</v>
      </c>
      <c r="E56" s="25">
        <f>C56-D56</f>
        <v>1817.0948894556466</v>
      </c>
      <c r="F56" s="24">
        <f>F55-E56</f>
        <v>184842.04901364245</v>
      </c>
    </row>
    <row r="57" spans="2:6" ht="14" customHeight="1">
      <c r="B57" s="23">
        <v>41</v>
      </c>
      <c r="C57" s="24">
        <f>$C$6</f>
        <v>2887.2739811667425</v>
      </c>
      <c r="D57" s="25">
        <f>F56*Assumptions!C8/Assumptions!C15</f>
        <v>1059.76108101155</v>
      </c>
      <c r="E57" s="25">
        <f>C57-D57</f>
        <v>1827.5129001551925</v>
      </c>
      <c r="F57" s="24">
        <f>F56-E57</f>
        <v>183014.53611348727</v>
      </c>
    </row>
    <row r="58" spans="2:6" ht="14" customHeight="1">
      <c r="B58" s="23">
        <v>42</v>
      </c>
      <c r="C58" s="24">
        <f>$C$6</f>
        <v>2887.2739811667425</v>
      </c>
      <c r="D58" s="25">
        <f>F57*Assumptions!C8/Assumptions!C15</f>
        <v>1049.2833403839936</v>
      </c>
      <c r="E58" s="25">
        <f>C58-D58</f>
        <v>1837.9906407827489</v>
      </c>
      <c r="F58" s="24">
        <f>F57-E58</f>
        <v>181176.5454727045</v>
      </c>
    </row>
    <row r="59" spans="2:6" ht="14" customHeight="1">
      <c r="B59" s="23">
        <v>43</v>
      </c>
      <c r="C59" s="24">
        <f>$C$6</f>
        <v>2887.2739811667425</v>
      </c>
      <c r="D59" s="25">
        <f>F58*Assumptions!C8/Assumptions!C15</f>
        <v>1038.7455273768392</v>
      </c>
      <c r="E59" s="25">
        <f>C59-D59</f>
        <v>1848.5284537899033</v>
      </c>
      <c r="F59" s="24">
        <f>F58-E59</f>
        <v>179328.0170189146</v>
      </c>
    </row>
    <row r="60" spans="2:6" ht="14" customHeight="1">
      <c r="B60" s="23">
        <v>44</v>
      </c>
      <c r="C60" s="24">
        <f>$C$6</f>
        <v>2887.2739811667425</v>
      </c>
      <c r="D60" s="25">
        <f>F59*Assumptions!C8/Assumptions!C15</f>
        <v>1028.1472975751103</v>
      </c>
      <c r="E60" s="25">
        <f>C60-D60</f>
        <v>1859.1266835916322</v>
      </c>
      <c r="F60" s="24">
        <f>F59-E60</f>
        <v>177468.89033532297</v>
      </c>
    </row>
    <row r="61" spans="2:6" ht="14" customHeight="1">
      <c r="B61" s="23">
        <v>45</v>
      </c>
      <c r="C61" s="24">
        <f>$C$6</f>
        <v>2887.2739811667425</v>
      </c>
      <c r="D61" s="25">
        <f>F60*Assumptions!C8/Assumptions!C15</f>
        <v>1017.4883045891851</v>
      </c>
      <c r="E61" s="25">
        <f>C61-D61</f>
        <v>1869.7856765775573</v>
      </c>
      <c r="F61" s="24">
        <f>F60-E61</f>
        <v>175599.1046587454</v>
      </c>
    </row>
    <row r="62" spans="2:6" ht="14" customHeight="1">
      <c r="B62" s="23">
        <v>46</v>
      </c>
      <c r="C62" s="24">
        <f>$C$6</f>
        <v>2887.2739811667425</v>
      </c>
      <c r="D62" s="25">
        <f>F61*Assumptions!C8/Assumptions!C15</f>
        <v>1006.7682000434737</v>
      </c>
      <c r="E62" s="25">
        <f>C62-D62</f>
        <v>1880.5057811232687</v>
      </c>
      <c r="F62" s="24">
        <f>F61-E62</f>
        <v>173718.59887762213</v>
      </c>
    </row>
    <row r="63" spans="2:6" ht="14" customHeight="1">
      <c r="B63" s="23">
        <v>47</v>
      </c>
      <c r="C63" s="24">
        <f>$C$6</f>
        <v>2887.2739811667425</v>
      </c>
      <c r="D63" s="25">
        <f>F62*Assumptions!C8/Assumptions!C15</f>
        <v>995.9866335650336</v>
      </c>
      <c r="E63" s="25">
        <f>C63-D63</f>
        <v>1891.287347601709</v>
      </c>
      <c r="F63" s="24">
        <f>F62-E63</f>
        <v>171827.31153002044</v>
      </c>
    </row>
    <row r="64" spans="2:6" ht="14" customHeight="1">
      <c r="B64" s="23">
        <v>48</v>
      </c>
      <c r="C64" s="24">
        <f>$C$6</f>
        <v>2887.2739811667425</v>
      </c>
      <c r="D64" s="25">
        <f>F63*Assumptions!C8/Assumptions!C15</f>
        <v>985.1432527721172</v>
      </c>
      <c r="E64" s="25">
        <f>C64-D64</f>
        <v>1902.1307283946253</v>
      </c>
      <c r="F64" s="24">
        <f>F63-E64</f>
        <v>169925.1808016258</v>
      </c>
    </row>
    <row r="65" spans="2:6" ht="14" customHeight="1">
      <c r="B65" s="23">
        <v>49</v>
      </c>
      <c r="C65" s="24">
        <f>$C$6</f>
        <v>2887.2739811667425</v>
      </c>
      <c r="D65" s="25">
        <f>F64*Assumptions!C8/Assumptions!C15</f>
        <v>974.2377032626546</v>
      </c>
      <c r="E65" s="25">
        <f>C65-D65</f>
        <v>1913.036277904088</v>
      </c>
      <c r="F65" s="24">
        <f>F64-E65</f>
        <v>168012.1445237217</v>
      </c>
    </row>
    <row r="66" spans="2:6" ht="14" customHeight="1">
      <c r="B66" s="23">
        <v>50</v>
      </c>
      <c r="C66" s="24">
        <f>$C$6</f>
        <v>2887.2739811667425</v>
      </c>
      <c r="D66" s="25">
        <f>F65*Assumptions!C8/Assumptions!C15</f>
        <v>963.2696286026712</v>
      </c>
      <c r="E66" s="25">
        <f>C66-D66</f>
        <v>1924.0043525640713</v>
      </c>
      <c r="F66" s="24">
        <f>F65-E66</f>
        <v>166088.14017115763</v>
      </c>
    </row>
    <row r="67" spans="2:6" ht="14" customHeight="1">
      <c r="B67" s="23">
        <v>51</v>
      </c>
      <c r="C67" s="24">
        <f>$C$6</f>
        <v>2887.2739811667425</v>
      </c>
      <c r="D67" s="25">
        <f>F66*Assumptions!C8/Assumptions!C15</f>
        <v>952.2386703146371</v>
      </c>
      <c r="E67" s="25">
        <f>C67-D67</f>
        <v>1935.0353108521053</v>
      </c>
      <c r="F67" s="24">
        <f>F66-E67</f>
        <v>164153.10486030552</v>
      </c>
    </row>
    <row r="68" spans="2:6" ht="14" customHeight="1">
      <c r="B68" s="23">
        <v>52</v>
      </c>
      <c r="C68" s="24">
        <f>$C$6</f>
        <v>2887.2739811667425</v>
      </c>
      <c r="D68" s="25">
        <f>F67*Assumptions!C8/Assumptions!C15</f>
        <v>941.1444678657517</v>
      </c>
      <c r="E68" s="25">
        <f>C68-D68</f>
        <v>1946.1295133009908</v>
      </c>
      <c r="F68" s="24">
        <f>F67-E68</f>
        <v>162206.97534700454</v>
      </c>
    </row>
    <row r="69" spans="2:6" ht="14" customHeight="1">
      <c r="B69" s="23">
        <v>53</v>
      </c>
      <c r="C69" s="24">
        <f>$C$6</f>
        <v>2887.2739811667425</v>
      </c>
      <c r="D69" s="25">
        <f>F68*Assumptions!C8/Assumptions!C15</f>
        <v>929.9866586561593</v>
      </c>
      <c r="E69" s="25">
        <f>C69-D69</f>
        <v>1957.2873225105832</v>
      </c>
      <c r="F69" s="24">
        <f>F68-E69</f>
        <v>160249.68802449395</v>
      </c>
    </row>
    <row r="70" spans="2:6" ht="14" customHeight="1">
      <c r="B70" s="23">
        <v>54</v>
      </c>
      <c r="C70" s="24">
        <f>$C$6</f>
        <v>2887.2739811667425</v>
      </c>
      <c r="D70" s="25">
        <f>F69*Assumptions!C8/Assumptions!C15</f>
        <v>918.7648780070987</v>
      </c>
      <c r="E70" s="25">
        <f>C70-D70</f>
        <v>1968.509103159644</v>
      </c>
      <c r="F70" s="24">
        <f>F69-E70</f>
        <v>158281.1789213343</v>
      </c>
    </row>
    <row r="71" spans="2:6" ht="14" customHeight="1">
      <c r="B71" s="23">
        <v>55</v>
      </c>
      <c r="C71" s="24">
        <f>$C$6</f>
        <v>2887.2739811667425</v>
      </c>
      <c r="D71" s="25">
        <f>F70*Assumptions!C8/Assumptions!C15</f>
        <v>907.4787591489834</v>
      </c>
      <c r="E71" s="25">
        <f>C71-D71</f>
        <v>1979.795222017759</v>
      </c>
      <c r="F71" s="24">
        <f>F70-E71</f>
        <v>156301.38369931653</v>
      </c>
    </row>
    <row r="72" spans="2:6" ht="14" customHeight="1">
      <c r="B72" s="23">
        <v>56</v>
      </c>
      <c r="C72" s="24">
        <f>$C$6</f>
        <v>2887.2739811667425</v>
      </c>
      <c r="D72" s="25">
        <f>F71*Assumptions!C8/Assumptions!C15</f>
        <v>896.1279332094149</v>
      </c>
      <c r="E72" s="25">
        <f>C72-D72</f>
        <v>1991.1460479573275</v>
      </c>
      <c r="F72" s="24">
        <f>F71-E72</f>
        <v>154310.2376513592</v>
      </c>
    </row>
    <row r="73" spans="2:6" ht="14" customHeight="1">
      <c r="B73" s="23">
        <v>57</v>
      </c>
      <c r="C73" s="24">
        <f>$C$6</f>
        <v>2887.2739811667425</v>
      </c>
      <c r="D73" s="25">
        <f>F72*Assumptions!C8/Assumptions!C15</f>
        <v>884.712029201126</v>
      </c>
      <c r="E73" s="25">
        <f>C73-D73</f>
        <v>2002.5619519656166</v>
      </c>
      <c r="F73" s="24">
        <f>F72-E73</f>
        <v>152307.67569939359</v>
      </c>
    </row>
    <row r="74" spans="2:6" ht="14" customHeight="1">
      <c r="B74" s="23">
        <v>58</v>
      </c>
      <c r="C74" s="24">
        <f>$C$6</f>
        <v>2887.2739811667425</v>
      </c>
      <c r="D74" s="25">
        <f>F73*Assumptions!C8/Assumptions!C15</f>
        <v>873.2306740098566</v>
      </c>
      <c r="E74" s="25">
        <f>C74-D74</f>
        <v>2014.043307156886</v>
      </c>
      <c r="F74" s="24">
        <f>F73-E74</f>
        <v>150293.6323922367</v>
      </c>
    </row>
    <row r="75" spans="2:6" ht="14" customHeight="1">
      <c r="B75" s="23">
        <v>59</v>
      </c>
      <c r="C75" s="24">
        <f>$C$6</f>
        <v>2887.2739811667425</v>
      </c>
      <c r="D75" s="25">
        <f>F74*Assumptions!C8/Assumptions!C15</f>
        <v>861.683492382157</v>
      </c>
      <c r="E75" s="25">
        <f>C75-D75</f>
        <v>2025.5904887845854</v>
      </c>
      <c r="F75" s="24">
        <f>F74-E75</f>
        <v>148268.0419034521</v>
      </c>
    </row>
    <row r="76" spans="2:6" ht="14" customHeight="1">
      <c r="B76" s="23">
        <v>60</v>
      </c>
      <c r="C76" s="24">
        <f>$C$6</f>
        <v>2887.2739811667425</v>
      </c>
      <c r="D76" s="25">
        <f>F75*Assumptions!C8/Assumptions!C15</f>
        <v>850.0701069131254</v>
      </c>
      <c r="E76" s="25">
        <f>C76-D76</f>
        <v>2037.203874253617</v>
      </c>
      <c r="F76" s="24">
        <f>F75-E76</f>
        <v>146230.8380291985</v>
      </c>
    </row>
    <row r="77" spans="2:6" ht="14" customHeight="1">
      <c r="B77" s="23">
        <v>61</v>
      </c>
      <c r="C77" s="24">
        <f>$C$6</f>
        <v>2887.2739811667425</v>
      </c>
      <c r="D77" s="25">
        <f>F76*Assumptions!C8/Assumptions!C15</f>
        <v>838.3901380340714</v>
      </c>
      <c r="E77" s="25">
        <f>C77-D77</f>
        <v>2048.8838431326712</v>
      </c>
      <c r="F77" s="24">
        <f>F76-E77</f>
        <v>144181.95418606582</v>
      </c>
    </row>
    <row r="78" spans="2:6" ht="14" customHeight="1">
      <c r="B78" s="23">
        <v>62</v>
      </c>
      <c r="C78" s="24">
        <f>$C$6</f>
        <v>2887.2739811667425</v>
      </c>
      <c r="D78" s="25">
        <f>F77*Assumptions!C8/Assumptions!C15</f>
        <v>826.6432040001108</v>
      </c>
      <c r="E78" s="25">
        <f>C78-D78</f>
        <v>2060.6307771666316</v>
      </c>
      <c r="F78" s="24">
        <f>F77-E78</f>
        <v>142121.3234088992</v>
      </c>
    </row>
    <row r="79" spans="2:6" ht="14" customHeight="1">
      <c r="B79" s="23">
        <v>63</v>
      </c>
      <c r="C79" s="24">
        <f>$C$6</f>
        <v>2887.2739811667425</v>
      </c>
      <c r="D79" s="25">
        <f>F78*Assumptions!C8/Assumptions!C15</f>
        <v>814.8289208776887</v>
      </c>
      <c r="E79" s="25">
        <f>C79-D79</f>
        <v>2072.445060289054</v>
      </c>
      <c r="F79" s="24">
        <f>F78-E79</f>
        <v>140048.87834861013</v>
      </c>
    </row>
    <row r="80" spans="2:6" ht="14" customHeight="1">
      <c r="B80" s="23">
        <v>64</v>
      </c>
      <c r="C80" s="24">
        <f>$C$6</f>
        <v>2887.2739811667425</v>
      </c>
      <c r="D80" s="25">
        <f>F79*Assumptions!C8/Assumptions!C15</f>
        <v>802.9469025320313</v>
      </c>
      <c r="E80" s="25">
        <f>C80-D80</f>
        <v>2084.327078634711</v>
      </c>
      <c r="F80" s="24">
        <f>F79-E80</f>
        <v>137964.55126997543</v>
      </c>
    </row>
    <row r="81" spans="2:6" ht="14" customHeight="1">
      <c r="B81" s="23">
        <v>65</v>
      </c>
      <c r="C81" s="24">
        <f>$C$6</f>
        <v>2887.2739811667425</v>
      </c>
      <c r="D81" s="25">
        <f>F80*Assumptions!C8/Assumptions!C15</f>
        <v>790.9967606145259</v>
      </c>
      <c r="E81" s="25">
        <f>C81-D81</f>
        <v>2096.2772205522165</v>
      </c>
      <c r="F81" s="24">
        <f>F80-E81</f>
        <v>135868.27404942323</v>
      </c>
    </row>
    <row r="82" spans="2:6" ht="14" customHeight="1">
      <c r="B82" s="23">
        <v>66</v>
      </c>
      <c r="C82" s="24">
        <f>$C$6</f>
        <v>2887.2739811667425</v>
      </c>
      <c r="D82" s="25">
        <f>F81*Assumptions!C8/Assumptions!C15</f>
        <v>778.9781045500266</v>
      </c>
      <c r="E82" s="25">
        <f>C82-D82</f>
        <v>2108.2958766167158</v>
      </c>
      <c r="F82" s="24">
        <f>F81-E82</f>
        <v>133759.9781728065</v>
      </c>
    </row>
    <row r="83" spans="2:6" ht="14" customHeight="1">
      <c r="B83" s="23">
        <v>67</v>
      </c>
      <c r="C83" s="24">
        <f>$C$6</f>
        <v>2887.2739811667425</v>
      </c>
      <c r="D83" s="25">
        <f>F82*Assumptions!C8/Assumptions!C15</f>
        <v>766.8905415240906</v>
      </c>
      <c r="E83" s="25">
        <f>C83-D83</f>
        <v>2120.383439642652</v>
      </c>
      <c r="F83" s="24">
        <f>F82-E83</f>
        <v>131639.59473316386</v>
      </c>
    </row>
    <row r="84" spans="2:6" ht="14" customHeight="1">
      <c r="B84" s="23">
        <v>68</v>
      </c>
      <c r="C84" s="24">
        <f>$C$6</f>
        <v>2887.2739811667425</v>
      </c>
      <c r="D84" s="25">
        <f>F83*Assumptions!C8/Assumptions!C15</f>
        <v>754.7336764701395</v>
      </c>
      <c r="E84" s="25">
        <f>C84-D84</f>
        <v>2132.540304696603</v>
      </c>
      <c r="F84" s="24">
        <f>F83-E84</f>
        <v>129507.05442846725</v>
      </c>
    </row>
    <row r="85" spans="2:6" ht="14" customHeight="1">
      <c r="B85" s="23">
        <v>69</v>
      </c>
      <c r="C85" s="24">
        <f>$C$6</f>
        <v>2887.2739811667425</v>
      </c>
      <c r="D85" s="25">
        <f>F84*Assumptions!C8/Assumptions!C15</f>
        <v>742.5071120565457</v>
      </c>
      <c r="E85" s="25">
        <f>C85-D85</f>
        <v>2144.7668691101967</v>
      </c>
      <c r="F85" s="24">
        <f>F84-E85</f>
        <v>127362.28755935705</v>
      </c>
    </row>
    <row r="86" spans="2:6" ht="14" customHeight="1">
      <c r="B86" s="23">
        <v>70</v>
      </c>
      <c r="C86" s="24">
        <f>$C$6</f>
        <v>2887.2739811667425</v>
      </c>
      <c r="D86" s="25">
        <f>F85*Assumptions!C8/Assumptions!C15</f>
        <v>730.2104486736471</v>
      </c>
      <c r="E86" s="25">
        <f>C86-D86</f>
        <v>2157.0635324930954</v>
      </c>
      <c r="F86" s="24">
        <f>F85-E86</f>
        <v>125205.22402686396</v>
      </c>
    </row>
    <row r="87" spans="2:6" ht="14" customHeight="1">
      <c r="B87" s="23">
        <v>71</v>
      </c>
      <c r="C87" s="24">
        <f>$C$6</f>
        <v>2887.2739811667425</v>
      </c>
      <c r="D87" s="25">
        <f>F86*Assumptions!C8/Assumptions!C15</f>
        <v>717.8432844206867</v>
      </c>
      <c r="E87" s="25">
        <f>C87-D87</f>
        <v>2169.4306967460557</v>
      </c>
      <c r="F87" s="24">
        <f>F86-E87</f>
        <v>123035.7933301179</v>
      </c>
    </row>
    <row r="88" spans="2:6" ht="14" customHeight="1">
      <c r="B88" s="23">
        <v>72</v>
      </c>
      <c r="C88" s="24">
        <f>$C$6</f>
        <v>2887.2739811667425</v>
      </c>
      <c r="D88" s="25">
        <f>F87*Assumptions!C8/Assumptions!C15</f>
        <v>705.4052150926759</v>
      </c>
      <c r="E88" s="25">
        <f>C88-D88</f>
        <v>2181.8687660740666</v>
      </c>
      <c r="F88" s="24">
        <f>F87-E88</f>
        <v>120853.92456404383</v>
      </c>
    </row>
    <row r="89" spans="2:6" ht="14" customHeight="1">
      <c r="B89" s="23">
        <v>73</v>
      </c>
      <c r="C89" s="24">
        <f>$C$6</f>
        <v>2887.2739811667425</v>
      </c>
      <c r="D89" s="25">
        <f>F88*Assumptions!C8/Assumptions!C15</f>
        <v>692.8958341671846</v>
      </c>
      <c r="E89" s="25">
        <f>C89-D89</f>
        <v>2194.378146999558</v>
      </c>
      <c r="F89" s="24">
        <f>F88-E89</f>
        <v>118659.54641704427</v>
      </c>
    </row>
    <row r="90" spans="2:6" ht="14" customHeight="1">
      <c r="B90" s="23">
        <v>74</v>
      </c>
      <c r="C90" s="24">
        <f>$C$6</f>
        <v>2887.2739811667425</v>
      </c>
      <c r="D90" s="25">
        <f>F89*Assumptions!C8/Assumptions!C15</f>
        <v>680.3147327910539</v>
      </c>
      <c r="E90" s="25">
        <f>C90-D90</f>
        <v>2206.9592483756887</v>
      </c>
      <c r="F90" s="24">
        <f>F89-E90</f>
        <v>116452.58716866859</v>
      </c>
    </row>
    <row r="91" spans="2:6" ht="14" customHeight="1">
      <c r="B91" s="23">
        <v>75</v>
      </c>
      <c r="C91" s="24">
        <f>$C$6</f>
        <v>2887.2739811667425</v>
      </c>
      <c r="D91" s="25">
        <f>F90*Assumptions!C8/Assumptions!C15</f>
        <v>667.6614997670332</v>
      </c>
      <c r="E91" s="25">
        <f>C91-D91</f>
        <v>2219.6124813997094</v>
      </c>
      <c r="F91" s="24">
        <f>F90-E91</f>
        <v>114232.97468726887</v>
      </c>
    </row>
    <row r="92" spans="2:6" ht="14" customHeight="1">
      <c r="B92" s="23">
        <v>76</v>
      </c>
      <c r="C92" s="24">
        <f>$C$6</f>
        <v>2887.2739811667425</v>
      </c>
      <c r="D92" s="25">
        <f>F91*Assumptions!C8/Assumptions!C15</f>
        <v>654.9357215403415</v>
      </c>
      <c r="E92" s="25">
        <f>C92-D92</f>
        <v>2232.338259626401</v>
      </c>
      <c r="F92" s="24">
        <f>F91-E92</f>
        <v>112000.63642764247</v>
      </c>
    </row>
    <row r="93" spans="2:6" ht="14" customHeight="1">
      <c r="B93" s="23">
        <v>77</v>
      </c>
      <c r="C93" s="24">
        <f>$C$6</f>
        <v>2887.2739811667425</v>
      </c>
      <c r="D93" s="25">
        <f>F92*Assumptions!C8/Assumptions!C15</f>
        <v>642.1369821851501</v>
      </c>
      <c r="E93" s="25">
        <f>C93-D93</f>
        <v>2245.136998981592</v>
      </c>
      <c r="F93" s="24">
        <f>F92-E93</f>
        <v>109755.49942866089</v>
      </c>
    </row>
    <row r="94" spans="2:6" ht="14" customHeight="1">
      <c r="B94" s="23">
        <v>78</v>
      </c>
      <c r="C94" s="24">
        <f>$C$6</f>
        <v>2887.2739811667425</v>
      </c>
      <c r="D94" s="25">
        <f>F93*Assumptions!C8/Assumptions!C15</f>
        <v>629.264863390989</v>
      </c>
      <c r="E94" s="25">
        <f>C94-D94</f>
        <v>2258.0091177757536</v>
      </c>
      <c r="F94" s="24">
        <f>F93-E94</f>
        <v>107497.49031088513</v>
      </c>
    </row>
    <row r="95" spans="2:6" ht="14" customHeight="1">
      <c r="B95" s="23">
        <v>79</v>
      </c>
      <c r="C95" s="24">
        <f>$C$6</f>
        <v>2887.2739811667425</v>
      </c>
      <c r="D95" s="25">
        <f>F94*Assumptions!C8/Assumptions!C15</f>
        <v>616.3189444490747</v>
      </c>
      <c r="E95" s="25">
        <f>C95-D95</f>
        <v>2270.955036717668</v>
      </c>
      <c r="F95" s="24">
        <f>F94-E95</f>
        <v>105226.53527416746</v>
      </c>
    </row>
    <row r="96" spans="2:6" ht="14" customHeight="1">
      <c r="B96" s="23">
        <v>80</v>
      </c>
      <c r="C96" s="24">
        <f>$C$6</f>
        <v>2887.2739811667425</v>
      </c>
      <c r="D96" s="25">
        <f>F95*Assumptions!C8/Assumptions!C15</f>
        <v>603.2988022385601</v>
      </c>
      <c r="E96" s="25">
        <f>C96-D96</f>
        <v>2283.9751789281822</v>
      </c>
      <c r="F96" s="24">
        <f>F95-E96</f>
        <v>102942.56009523927</v>
      </c>
    </row>
    <row r="97" spans="2:6" ht="14" customHeight="1">
      <c r="B97" s="23">
        <v>81</v>
      </c>
      <c r="C97" s="24">
        <f>$C$6</f>
        <v>2887.2739811667425</v>
      </c>
      <c r="D97" s="25">
        <f>F96*Assumptions!C8/Assumptions!C15</f>
        <v>590.2040112127052</v>
      </c>
      <c r="E97" s="25">
        <f>C97-D97</f>
        <v>2297.0699699540373</v>
      </c>
      <c r="F97" s="24">
        <f>F96-E97</f>
        <v>100645.49012528523</v>
      </c>
    </row>
    <row r="98" spans="2:6" ht="14" customHeight="1">
      <c r="B98" s="23">
        <v>82</v>
      </c>
      <c r="C98" s="24">
        <f>$C$6</f>
        <v>2887.2739811667425</v>
      </c>
      <c r="D98" s="25">
        <f>F97*Assumptions!C8/Assumptions!C15</f>
        <v>577.0341433849686</v>
      </c>
      <c r="E98" s="25">
        <f>C98-D98</f>
        <v>2310.239837781774</v>
      </c>
      <c r="F98" s="24">
        <f>F97-E98</f>
        <v>98335.25028750346</v>
      </c>
    </row>
    <row r="99" spans="2:6" ht="14" customHeight="1">
      <c r="B99" s="23">
        <v>83</v>
      </c>
      <c r="C99" s="24">
        <f>$C$6</f>
        <v>2887.2739811667425</v>
      </c>
      <c r="D99" s="25">
        <f>F98*Assumptions!C8/Assumptions!C15</f>
        <v>563.7887683150199</v>
      </c>
      <c r="E99" s="25">
        <f>C99-D99</f>
        <v>2323.4852128517227</v>
      </c>
      <c r="F99" s="24">
        <f>F98-E99</f>
        <v>96011.76507465173</v>
      </c>
    </row>
    <row r="100" spans="2:6" ht="14" customHeight="1">
      <c r="B100" s="23">
        <v>84</v>
      </c>
      <c r="C100" s="24">
        <f>$C$6</f>
        <v>2887.2739811667425</v>
      </c>
      <c r="D100" s="25">
        <f>F99*Assumptions!C8/Assumptions!C15</f>
        <v>550.46745309467</v>
      </c>
      <c r="E100" s="25">
        <f>C100-D100</f>
        <v>2336.8065280720725</v>
      </c>
      <c r="F100" s="24">
        <f>F99-E100</f>
        <v>93674.95854657966</v>
      </c>
    </row>
    <row r="101" spans="2:6" ht="14" customHeight="1">
      <c r="B101" s="23">
        <v>85</v>
      </c>
      <c r="C101" s="24">
        <f>$C$6</f>
        <v>2887.2739811667425</v>
      </c>
      <c r="D101" s="25">
        <f>F100*Assumptions!C8/Assumptions!C15</f>
        <v>537.0697623337234</v>
      </c>
      <c r="E101" s="25">
        <f>C101-D101</f>
        <v>2350.2042188330192</v>
      </c>
      <c r="F101" s="24">
        <f>F100-E101</f>
        <v>91324.75432774663</v>
      </c>
    </row>
    <row r="102" spans="2:6" ht="14" customHeight="1">
      <c r="B102" s="23">
        <v>86</v>
      </c>
      <c r="C102" s="24">
        <f>$C$6</f>
        <v>2887.2739811667425</v>
      </c>
      <c r="D102" s="25">
        <f>F101*Assumptions!C8/Assumptions!C15</f>
        <v>523.5952581457474</v>
      </c>
      <c r="E102" s="25">
        <f>C102-D102</f>
        <v>2363.678723020995</v>
      </c>
      <c r="F102" s="24">
        <f>F101-E102</f>
        <v>88961.07560472564</v>
      </c>
    </row>
    <row r="103" spans="2:6" ht="14" customHeight="1">
      <c r="B103" s="23">
        <v>87</v>
      </c>
      <c r="C103" s="24">
        <f>$C$6</f>
        <v>2887.2739811667425</v>
      </c>
      <c r="D103" s="25">
        <f>F102*Assumptions!C8/Assumptions!C15</f>
        <v>510.04350013376035</v>
      </c>
      <c r="E103" s="25">
        <f>C103-D103</f>
        <v>2377.230481032982</v>
      </c>
      <c r="F103" s="24">
        <f>F102-E103</f>
        <v>86583.84512369266</v>
      </c>
    </row>
    <row r="104" spans="2:6" ht="14" customHeight="1">
      <c r="B104" s="23">
        <v>88</v>
      </c>
      <c r="C104" s="24">
        <f>$C$6</f>
        <v>2887.2739811667425</v>
      </c>
      <c r="D104" s="25">
        <f>F103*Assumptions!C8/Assumptions!C15</f>
        <v>496.41404537583793</v>
      </c>
      <c r="E104" s="25">
        <f>C104-D104</f>
        <v>2390.8599357909047</v>
      </c>
      <c r="F104" s="24">
        <f>F103-E104</f>
        <v>84192.98518790175</v>
      </c>
    </row>
    <row r="105" spans="2:6" ht="14" customHeight="1">
      <c r="B105" s="23">
        <v>89</v>
      </c>
      <c r="C105" s="24">
        <f>$C$6</f>
        <v>2887.2739811667425</v>
      </c>
      <c r="D105" s="25">
        <f>F104*Assumptions!C8/Assumptions!C15</f>
        <v>482.7064484106367</v>
      </c>
      <c r="E105" s="25">
        <f>C105-D105</f>
        <v>2404.5675327561057</v>
      </c>
      <c r="F105" s="24">
        <f>F104-E105</f>
        <v>81788.41765514565</v>
      </c>
    </row>
    <row r="106" spans="2:6" ht="14" customHeight="1">
      <c r="B106" s="23">
        <v>90</v>
      </c>
      <c r="C106" s="24">
        <f>$C$6</f>
        <v>2887.2739811667425</v>
      </c>
      <c r="D106" s="25">
        <f>F105*Assumptions!C8/Assumptions!C15</f>
        <v>468.92026122283505</v>
      </c>
      <c r="E106" s="25">
        <f>C106-D106</f>
        <v>2418.3537199439074</v>
      </c>
      <c r="F106" s="24">
        <f>F105-E106</f>
        <v>79370.06393520175</v>
      </c>
    </row>
    <row r="107" spans="2:6" ht="14" customHeight="1">
      <c r="B107" s="23">
        <v>91</v>
      </c>
      <c r="C107" s="24">
        <f>$C$6</f>
        <v>2887.2739811667425</v>
      </c>
      <c r="D107" s="25">
        <f>F106*Assumptions!C8/Assumptions!C15</f>
        <v>455.05503322849</v>
      </c>
      <c r="E107" s="25">
        <f>C107-D107</f>
        <v>2432.2189479382523</v>
      </c>
      <c r="F107" s="24">
        <f>F106-E107</f>
        <v>76937.8449872635</v>
      </c>
    </row>
    <row r="108" spans="2:6" ht="14" customHeight="1">
      <c r="B108" s="23">
        <v>92</v>
      </c>
      <c r="C108" s="24">
        <f>$C$6</f>
        <v>2887.2739811667425</v>
      </c>
      <c r="D108" s="25">
        <f>F107*Assumptions!C8/Assumptions!C15</f>
        <v>441.1103112603107</v>
      </c>
      <c r="E108" s="25">
        <f>C108-D108</f>
        <v>2446.163669906432</v>
      </c>
      <c r="F108" s="24">
        <f>F107-E108</f>
        <v>74491.68131735707</v>
      </c>
    </row>
    <row r="109" spans="2:6" ht="14" customHeight="1">
      <c r="B109" s="23">
        <v>93</v>
      </c>
      <c r="C109" s="24">
        <f>$C$6</f>
        <v>2887.2739811667425</v>
      </c>
      <c r="D109" s="25">
        <f>F108*Assumptions!C8/Assumptions!C15</f>
        <v>427.08563955284717</v>
      </c>
      <c r="E109" s="25">
        <f>C109-D109</f>
        <v>2460.1883416138953</v>
      </c>
      <c r="F109" s="24">
        <f>F108-E109</f>
        <v>72031.49297574317</v>
      </c>
    </row>
    <row r="110" spans="2:6" ht="14" customHeight="1">
      <c r="B110" s="23">
        <v>94</v>
      </c>
      <c r="C110" s="24">
        <f>$C$6</f>
        <v>2887.2739811667425</v>
      </c>
      <c r="D110" s="25">
        <f>F109*Assumptions!C8/Assumptions!C15</f>
        <v>412.9805597275942</v>
      </c>
      <c r="E110" s="25">
        <f>C110-D110</f>
        <v>2474.2934214391485</v>
      </c>
      <c r="F110" s="24">
        <f>F109-E110</f>
        <v>69557.19955430402</v>
      </c>
    </row>
    <row r="111" spans="2:6" ht="14" customHeight="1">
      <c r="B111" s="23">
        <v>95</v>
      </c>
      <c r="C111" s="24">
        <f>$C$6</f>
        <v>2887.2739811667425</v>
      </c>
      <c r="D111" s="25">
        <f>F110*Assumptions!C8/Assumptions!C15</f>
        <v>398.7946107780097</v>
      </c>
      <c r="E111" s="25">
        <f>C111-D111</f>
        <v>2488.4793703887326</v>
      </c>
      <c r="F111" s="24">
        <f>F110-E111</f>
        <v>67068.7201839153</v>
      </c>
    </row>
    <row r="112" spans="2:6" ht="14" customHeight="1">
      <c r="B112" s="23">
        <v>96</v>
      </c>
      <c r="C112" s="24">
        <f>$C$6</f>
        <v>2887.2739811667425</v>
      </c>
      <c r="D112" s="25">
        <f>F111*Assumptions!C8/Assumptions!C15</f>
        <v>384.52732905444776</v>
      </c>
      <c r="E112" s="25">
        <f>C112-D112</f>
        <v>2502.7466521122947</v>
      </c>
      <c r="F112" s="24">
        <f>F111-E112</f>
        <v>64565.97353180301</v>
      </c>
    </row>
    <row r="113" spans="2:6" ht="14" customHeight="1">
      <c r="B113" s="23">
        <v>97</v>
      </c>
      <c r="C113" s="24">
        <f>$C$6</f>
        <v>2887.2739811667425</v>
      </c>
      <c r="D113" s="25">
        <f>F112*Assumptions!C8/Assumptions!C15</f>
        <v>370.1782482490039</v>
      </c>
      <c r="E113" s="25">
        <f>C113-D113</f>
        <v>2517.0957329177386</v>
      </c>
      <c r="F113" s="24">
        <f>F112-E113</f>
        <v>62048.87779888527</v>
      </c>
    </row>
    <row r="114" spans="2:6" ht="14" customHeight="1">
      <c r="B114" s="23">
        <v>98</v>
      </c>
      <c r="C114" s="24">
        <f>$C$6</f>
        <v>2887.2739811667425</v>
      </c>
      <c r="D114" s="25">
        <f>F113*Assumptions!C8/Assumptions!C15</f>
        <v>355.7468993802756</v>
      </c>
      <c r="E114" s="25">
        <f>C114-D114</f>
        <v>2531.527081786467</v>
      </c>
      <c r="F114" s="24">
        <f>F113-E114</f>
        <v>59517.3507170988</v>
      </c>
    </row>
    <row r="115" spans="2:6" ht="14" customHeight="1">
      <c r="B115" s="23">
        <v>99</v>
      </c>
      <c r="C115" s="24">
        <f>$C$6</f>
        <v>2887.2739811667425</v>
      </c>
      <c r="D115" s="25">
        <f>F114*Assumptions!C8/Assumptions!C15</f>
        <v>341.2328107780331</v>
      </c>
      <c r="E115" s="25">
        <f>C115-D115</f>
        <v>2546.0411703887094</v>
      </c>
      <c r="F115" s="24">
        <f>F114-E115</f>
        <v>56971.309546710094</v>
      </c>
    </row>
    <row r="116" spans="2:6" ht="14" customHeight="1">
      <c r="B116" s="23">
        <v>100</v>
      </c>
      <c r="C116" s="24">
        <f>$C$6</f>
        <v>2887.2739811667425</v>
      </c>
      <c r="D116" s="25">
        <f>F115*Assumptions!C8/Assumptions!C15</f>
        <v>326.63550806780455</v>
      </c>
      <c r="E116" s="25">
        <f>C116-D116</f>
        <v>2560.638473098938</v>
      </c>
      <c r="F116" s="24">
        <f>F115-E116</f>
        <v>54410.671073611156</v>
      </c>
    </row>
    <row r="117" spans="2:6" ht="14" customHeight="1">
      <c r="B117" s="23">
        <v>101</v>
      </c>
      <c r="C117" s="24">
        <f>$C$6</f>
        <v>2887.2739811667425</v>
      </c>
      <c r="D117" s="25">
        <f>F116*Assumptions!C8/Assumptions!C15</f>
        <v>311.95451415537065</v>
      </c>
      <c r="E117" s="25">
        <f>C117-D117</f>
        <v>2575.3194670113717</v>
      </c>
      <c r="F117" s="24">
        <f>F116-E117</f>
        <v>51835.35160659978</v>
      </c>
    </row>
    <row r="118" spans="2:6" ht="14" customHeight="1">
      <c r="B118" s="23">
        <v>102</v>
      </c>
      <c r="C118" s="24">
        <f>$C$6</f>
        <v>2887.2739811667425</v>
      </c>
      <c r="D118" s="25">
        <f>F117*Assumptions!C8/Assumptions!C15</f>
        <v>297.1893492111721</v>
      </c>
      <c r="E118" s="25">
        <f>C118-D118</f>
        <v>2590.0846319555703</v>
      </c>
      <c r="F118" s="24">
        <f>F117-E118</f>
        <v>49245.26697464421</v>
      </c>
    </row>
    <row r="119" spans="2:6" ht="14" customHeight="1">
      <c r="B119" s="23">
        <v>103</v>
      </c>
      <c r="C119" s="24">
        <f>$C$6</f>
        <v>2887.2739811667425</v>
      </c>
      <c r="D119" s="25">
        <f>F118*Assumptions!C8/Assumptions!C15</f>
        <v>282.3395306546268</v>
      </c>
      <c r="E119" s="25">
        <f>C119-D119</f>
        <v>2604.9344505121157</v>
      </c>
      <c r="F119" s="24">
        <f>F118-E119</f>
        <v>46640.33252413209</v>
      </c>
    </row>
    <row r="120" spans="2:6" ht="14" customHeight="1">
      <c r="B120" s="23">
        <v>104</v>
      </c>
      <c r="C120" s="24">
        <f>$C$6</f>
        <v>2887.2739811667425</v>
      </c>
      <c r="D120" s="25">
        <f>F119*Assumptions!C8/Assumptions!C15</f>
        <v>267.4045731383573</v>
      </c>
      <c r="E120" s="25">
        <f>C120-D120</f>
        <v>2619.8694080283854</v>
      </c>
      <c r="F120" s="24">
        <f>F119-E120</f>
        <v>44020.46311610371</v>
      </c>
    </row>
    <row r="121" spans="2:6" ht="14" customHeight="1">
      <c r="B121" s="23">
        <v>105</v>
      </c>
      <c r="C121" s="24">
        <f>$C$6</f>
        <v>2887.2739811667425</v>
      </c>
      <c r="D121" s="25">
        <f>F120*Assumptions!C8/Assumptions!C15</f>
        <v>252.38398853232795</v>
      </c>
      <c r="E121" s="25">
        <f>C121-D121</f>
        <v>2634.8899926344147</v>
      </c>
      <c r="F121" s="24">
        <f>F120-E121</f>
        <v>41385.573123469294</v>
      </c>
    </row>
    <row r="122" spans="2:6" ht="14" customHeight="1">
      <c r="B122" s="23">
        <v>106</v>
      </c>
      <c r="C122" s="24">
        <f>$C$6</f>
        <v>2887.2739811667425</v>
      </c>
      <c r="D122" s="25">
        <f>F121*Assumptions!C8/Assumptions!C15</f>
        <v>237.27728590789062</v>
      </c>
      <c r="E122" s="25">
        <f>C122-D122</f>
        <v>2649.996695258852</v>
      </c>
      <c r="F122" s="24">
        <f>F121-E122</f>
        <v>38735.57642821044</v>
      </c>
    </row>
    <row r="123" spans="2:6" ht="14" customHeight="1">
      <c r="B123" s="23">
        <v>107</v>
      </c>
      <c r="C123" s="24">
        <f>$C$6</f>
        <v>2887.2739811667425</v>
      </c>
      <c r="D123" s="25">
        <f>F122*Assumptions!C8/Assumptions!C15</f>
        <v>222.08397152173987</v>
      </c>
      <c r="E123" s="25">
        <f>C123-D123</f>
        <v>2665.1900096450026</v>
      </c>
      <c r="F123" s="24">
        <f>F122-E123</f>
        <v>36070.38641856544</v>
      </c>
    </row>
    <row r="124" spans="2:6" ht="14" customHeight="1">
      <c r="B124" s="23">
        <v>108</v>
      </c>
      <c r="C124" s="24">
        <f>$C$6</f>
        <v>2887.2739811667425</v>
      </c>
      <c r="D124" s="25">
        <f>F123*Assumptions!C8/Assumptions!C15</f>
        <v>206.80354879977517</v>
      </c>
      <c r="E124" s="25">
        <f>C124-D124</f>
        <v>2680.4704323669675</v>
      </c>
      <c r="F124" s="24">
        <f>F123-E124</f>
        <v>33389.91598619847</v>
      </c>
    </row>
    <row r="125" spans="2:6" ht="14" customHeight="1">
      <c r="B125" s="23">
        <v>109</v>
      </c>
      <c r="C125" s="24">
        <f>$C$6</f>
        <v>2887.2739811667425</v>
      </c>
      <c r="D125" s="25">
        <f>F124*Assumptions!C8/Assumptions!C15</f>
        <v>191.43551832087124</v>
      </c>
      <c r="E125" s="25">
        <f>C125-D125</f>
        <v>2695.838462845871</v>
      </c>
      <c r="F125" s="24">
        <f>F124-E125</f>
        <v>30694.077523352604</v>
      </c>
    </row>
    <row r="126" spans="2:6" ht="14" customHeight="1">
      <c r="B126" s="23">
        <v>110</v>
      </c>
      <c r="C126" s="24">
        <f>$C$6</f>
        <v>2887.2739811667425</v>
      </c>
      <c r="D126" s="25">
        <f>F125*Assumptions!C8/Assumptions!C15</f>
        <v>175.97937780055494</v>
      </c>
      <c r="E126" s="25">
        <f>C126-D126</f>
        <v>2711.2946033661874</v>
      </c>
      <c r="F126" s="24">
        <f>F125-E126</f>
        <v>27982.782919986417</v>
      </c>
    </row>
    <row r="127" spans="2:6" ht="14" customHeight="1">
      <c r="B127" s="23">
        <v>111</v>
      </c>
      <c r="C127" s="24">
        <f>$C$6</f>
        <v>2887.2739811667425</v>
      </c>
      <c r="D127" s="25">
        <f>F126*Assumptions!C8/Assumptions!C15</f>
        <v>160.4346220745888</v>
      </c>
      <c r="E127" s="25">
        <f>C127-D127</f>
        <v>2726.8393590921537</v>
      </c>
      <c r="F127" s="24">
        <f>F126-E127</f>
        <v>25255.943560894262</v>
      </c>
    </row>
    <row r="128" spans="2:6" ht="14" customHeight="1">
      <c r="B128" s="23">
        <v>112</v>
      </c>
      <c r="C128" s="24">
        <f>$C$6</f>
        <v>2887.2739811667425</v>
      </c>
      <c r="D128" s="25">
        <f>F127*Assumptions!C8/Assumptions!C15</f>
        <v>144.80074308246043</v>
      </c>
      <c r="E128" s="25">
        <f>C128-D128</f>
        <v>2742.473238084282</v>
      </c>
      <c r="F128" s="24">
        <f>F127-E128</f>
        <v>22513.47032280998</v>
      </c>
    </row>
    <row r="129" spans="2:6" ht="14" customHeight="1">
      <c r="B129" s="23">
        <v>113</v>
      </c>
      <c r="C129" s="24">
        <f>$C$6</f>
        <v>2887.2739811667425</v>
      </c>
      <c r="D129" s="25">
        <f>F128*Assumptions!C8/Assumptions!C15</f>
        <v>129.07722985077723</v>
      </c>
      <c r="E129" s="25">
        <f>C129-D129</f>
        <v>2758.1967513159652</v>
      </c>
      <c r="F129" s="24">
        <f>F128-E129</f>
        <v>19755.273571494014</v>
      </c>
    </row>
    <row r="130" spans="2:6" ht="14" customHeight="1">
      <c r="B130" s="23">
        <v>114</v>
      </c>
      <c r="C130" s="24">
        <f>$C$6</f>
        <v>2887.2739811667425</v>
      </c>
      <c r="D130" s="25">
        <f>F129*Assumptions!C8/Assumptions!C15</f>
        <v>113.26356847656568</v>
      </c>
      <c r="E130" s="25">
        <f>C130-D130</f>
        <v>2774.010412690177</v>
      </c>
      <c r="F130" s="24">
        <f>F129-E130</f>
        <v>16981.263158803835</v>
      </c>
    </row>
    <row r="131" spans="2:6" ht="14" customHeight="1">
      <c r="B131" s="23">
        <v>115</v>
      </c>
      <c r="C131" s="24">
        <f>$C$6</f>
        <v>2887.2739811667425</v>
      </c>
      <c r="D131" s="25">
        <f>F130*Assumptions!C8/Assumptions!C15</f>
        <v>97.35924211047531</v>
      </c>
      <c r="E131" s="25">
        <f>C131-D131</f>
        <v>2789.914739056267</v>
      </c>
      <c r="F131" s="24">
        <f>F130-E131</f>
        <v>14191.348419747568</v>
      </c>
    </row>
    <row r="132" spans="2:6" ht="14" customHeight="1">
      <c r="B132" s="23">
        <v>116</v>
      </c>
      <c r="C132" s="24">
        <f>$C$6</f>
        <v>2887.2739811667425</v>
      </c>
      <c r="D132" s="25">
        <f>F131*Assumptions!C8/Assumptions!C15</f>
        <v>81.36373093988605</v>
      </c>
      <c r="E132" s="25">
        <f>C132-D132</f>
        <v>2805.9102502268565</v>
      </c>
      <c r="F132" s="24">
        <f>F131-E132</f>
        <v>11385.438169520712</v>
      </c>
    </row>
    <row r="133" spans="2:6" ht="14" customHeight="1">
      <c r="B133" s="23">
        <v>117</v>
      </c>
      <c r="C133" s="24">
        <f>$C$6</f>
        <v>2887.2739811667425</v>
      </c>
      <c r="D133" s="25">
        <f>F132*Assumptions!C8/Assumptions!C15</f>
        <v>65.27651217191875</v>
      </c>
      <c r="E133" s="25">
        <f>C133-D133</f>
        <v>2821.9974689948235</v>
      </c>
      <c r="F133" s="24">
        <f>F132-E133</f>
        <v>8563.440700525889</v>
      </c>
    </row>
    <row r="134" spans="2:6" ht="14" customHeight="1">
      <c r="B134" s="23">
        <v>118</v>
      </c>
      <c r="C134" s="24">
        <f>$C$6</f>
        <v>2887.2739811667425</v>
      </c>
      <c r="D134" s="25">
        <f>F133*Assumptions!C8/Assumptions!C15</f>
        <v>49.09706001634843</v>
      </c>
      <c r="E134" s="25">
        <f>C134-D134</f>
        <v>2838.1769211503943</v>
      </c>
      <c r="F134" s="24">
        <f>F133-E134</f>
        <v>5725.263779375495</v>
      </c>
    </row>
    <row r="135" spans="2:6" ht="14" customHeight="1">
      <c r="B135" s="23">
        <v>119</v>
      </c>
      <c r="C135" s="24">
        <f>$C$6</f>
        <v>2887.2739811667425</v>
      </c>
      <c r="D135" s="25">
        <f>F134*Assumptions!C8/Assumptions!C15</f>
        <v>32.824845668419506</v>
      </c>
      <c r="E135" s="25">
        <f>C135-D135</f>
        <v>2854.449135498323</v>
      </c>
      <c r="F135" s="24">
        <f>F134-E135</f>
        <v>2870.814643877172</v>
      </c>
    </row>
    <row r="136" spans="2:6" ht="18" customHeight="1">
      <c r="B136" s="26" t="s">
        <v>137</v>
      </c>
      <c r="C136" s="22">
        <f>SUM(C16:C135)</f>
        <v>346472.8777400091</v>
      </c>
      <c r="D136" s="27">
        <f>SUM(D16:D135)</f>
        <v>96472.87774001114</v>
      </c>
      <c r="E136" s="27">
        <f>SUM(E16:E135)</f>
        <v>249999.99999999796</v>
      </c>
      <c r="F136" s="26" t="s">
        <v>138</v>
      </c>
    </row>
    <row r="142" spans="2:6" ht="14" customHeight="1">
      <c r="B142" s="11" t="s">
        <v>42</v>
      </c>
      <c r="C142" s="11"/>
      <c r="D142" s="11"/>
      <c r="E142" s="11"/>
      <c r="F142" s="11"/>
    </row>
  </sheetData>
  <mergeCells count="4">
    <mergeCell ref="B2:F2"/>
    <mergeCell ref="B3:F3"/>
    <mergeCell ref="B14:F14"/>
    <mergeCell ref="B142:F14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2:R66"/>
  <sheetViews>
    <sheetView showGridLines="0" workbookViewId="0"/>
  </sheetViews>
  <sheetFormatPr defaultRowHeight="15"/>
  <cols>
    <col min="1" max="1" width="2.7109375" customWidth="1"/>
    <col min="2" max="2" width="40.7109375" customWidth="1"/>
    <col min="3" max="3" width="16.7109375" customWidth="1"/>
    <col min="4" max="4" width="50.7109375" customWidth="1"/>
    <col min="5" max="17" width="12.7109375" customWidth="1"/>
    <col min="18" max="18" width="14.7109375" customWidth="1"/>
    <col min="19" max="19" width="2.7109375" customWidth="1"/>
  </cols>
  <sheetData>
    <row r="2" spans="2:17" ht="32" customHeight="1">
      <c r="B2" s="1" t="s">
        <v>139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2:17" ht="18" customHeight="1">
      <c r="B3" s="2" t="s">
        <v>140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5" spans="2:17" ht="18" customHeight="1">
      <c r="B5" s="3" t="s">
        <v>141</v>
      </c>
      <c r="C5" s="3"/>
      <c r="D5" s="3"/>
    </row>
    <row r="6" spans="2:17" ht="18" customHeight="1">
      <c r="B6" s="12" t="s">
        <v>45</v>
      </c>
      <c r="C6" s="12" t="s">
        <v>46</v>
      </c>
      <c r="D6" s="12" t="s">
        <v>142</v>
      </c>
    </row>
    <row r="7" spans="2:17">
      <c r="B7" s="6" t="s">
        <v>24</v>
      </c>
      <c r="C7" s="20">
        <f>Schedule!C6</f>
        <v>2887.2739811667425</v>
      </c>
      <c r="D7" s="8" t="s">
        <v>143</v>
      </c>
    </row>
    <row r="8" spans="2:17">
      <c r="B8" s="6" t="s">
        <v>26</v>
      </c>
      <c r="C8" s="20">
        <f>Schedule!C7</f>
        <v>3150.6812812280145</v>
      </c>
      <c r="D8" s="8" t="s">
        <v>27</v>
      </c>
    </row>
    <row r="10" spans="2:17" ht="18" customHeight="1">
      <c r="B10" s="13" t="s">
        <v>144</v>
      </c>
      <c r="C10" s="13"/>
      <c r="D10" s="13"/>
    </row>
    <row r="11" spans="2:17">
      <c r="B11" s="6" t="s">
        <v>145</v>
      </c>
      <c r="C11" s="20">
        <f>Assumptions!C23</f>
        <v>0</v>
      </c>
      <c r="D11" s="8" t="s">
        <v>146</v>
      </c>
    </row>
    <row r="12" spans="2:17">
      <c r="B12" s="6" t="s">
        <v>80</v>
      </c>
      <c r="C12" s="20">
        <f>Assumptions!C22</f>
        <v>0</v>
      </c>
      <c r="D12" s="8" t="s">
        <v>146</v>
      </c>
    </row>
    <row r="13" spans="2:17">
      <c r="B13" s="6" t="s">
        <v>147</v>
      </c>
      <c r="C13" s="20">
        <f>C7</f>
        <v>2887.2739811667425</v>
      </c>
      <c r="D13" s="8" t="s">
        <v>148</v>
      </c>
    </row>
    <row r="14" spans="2:17">
      <c r="B14" s="18" t="s">
        <v>149</v>
      </c>
      <c r="C14" s="20">
        <f>C12+C13</f>
        <v>2887.2739811667425</v>
      </c>
      <c r="D14" s="8" t="s">
        <v>150</v>
      </c>
    </row>
    <row r="15" spans="2:17">
      <c r="B15" s="18" t="s">
        <v>151</v>
      </c>
      <c r="C15" s="20">
        <f>C12+C8</f>
        <v>3150.6812812280145</v>
      </c>
      <c r="D15" s="8" t="s">
        <v>152</v>
      </c>
    </row>
    <row r="18" spans="2:4">
      <c r="B18" s="6" t="s">
        <v>153</v>
      </c>
      <c r="C18" s="9">
        <f>Assumptions!C20</f>
        <v>1.25</v>
      </c>
      <c r="D18" s="8" t="s">
        <v>146</v>
      </c>
    </row>
    <row r="19" spans="2:4">
      <c r="B19" s="18" t="s">
        <v>28</v>
      </c>
      <c r="C19" s="9">
        <f>IF(C14=0,0,C11/C14)</f>
        <v>0.0</v>
      </c>
      <c r="D19" s="8" t="s">
        <v>29</v>
      </c>
    </row>
    <row r="20" spans="2:4">
      <c r="B20" s="18" t="s">
        <v>30</v>
      </c>
      <c r="C20" s="9">
        <f>IF(C15=0,0,C11/C15)</f>
        <v>0.0</v>
      </c>
      <c r="D20" s="8" t="s">
        <v>31</v>
      </c>
    </row>
    <row r="23" spans="2:4" ht="18" customHeight="1">
      <c r="B23" s="3" t="s">
        <v>154</v>
      </c>
      <c r="C23" s="3"/>
      <c r="D23" s="3"/>
    </row>
    <row r="24" spans="2:4">
      <c r="B24" s="6" t="s">
        <v>28</v>
      </c>
      <c r="C24" s="9">
        <f>C19</f>
        <v>0.0</v>
      </c>
      <c r="D24" s="8" t="s">
        <v>29</v>
      </c>
    </row>
    <row r="25" spans="2:4">
      <c r="B25" s="6" t="s">
        <v>30</v>
      </c>
      <c r="C25" s="9">
        <f>C20</f>
        <v>0.0</v>
      </c>
      <c r="D25" s="8" t="s">
        <v>31</v>
      </c>
    </row>
    <row r="26" spans="2:4">
      <c r="B26" s="18" t="s">
        <v>155</v>
      </c>
      <c r="C26" s="28" t="str">
        <f>IF(C19&gt;=C18,"PASS","FAIL")</f>
        <v>FAIL</v>
      </c>
      <c r="D26" s="8" t="s">
        <v>156</v>
      </c>
    </row>
    <row r="27" spans="2:4">
      <c r="B27" s="18" t="s">
        <v>157</v>
      </c>
      <c r="C27" s="28" t="str">
        <f>IF(C20&gt;=C18,"PASS","FAIL")</f>
        <v>FAIL</v>
      </c>
      <c r="D27" s="8" t="s">
        <v>156</v>
      </c>
    </row>
    <row r="28" spans="2:4">
      <c r="B28" s="18" t="s">
        <v>158</v>
      </c>
      <c r="C28" s="28" t="str">
        <f>IF(P47&gt;=0,"PASS","FAIL")</f>
        <v>PASS</v>
      </c>
      <c r="D28" s="8" t="s">
        <v>159</v>
      </c>
    </row>
    <row r="29" spans="2:4">
      <c r="B29" s="13" t="s">
        <v>160</v>
      </c>
      <c r="C29" s="13"/>
      <c r="D29" s="13"/>
    </row>
    <row r="30" spans="2:4">
      <c r="B30" s="18" t="s">
        <v>161</v>
      </c>
      <c r="C30" s="20">
        <f>C7/(1-Assumptions!C33)</f>
        <v>9624.24660388914</v>
      </c>
      <c r="D30" s="8" t="s">
        <v>162</v>
      </c>
    </row>
    <row r="31" spans="2:4">
      <c r="B31" s="6" t="s">
        <v>163</v>
      </c>
      <c r="C31" s="29">
        <f>C30/Assumptions!C19</f>
        <v>0.1552297839336958</v>
      </c>
      <c r="D31" s="8" t="s">
        <v>164</v>
      </c>
    </row>
    <row r="34" spans="2:18" ht="18" customHeight="1">
      <c r="B34" s="3" t="s">
        <v>165</v>
      </c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</row>
    <row r="35" spans="2:18">
      <c r="B35" s="26" t="s">
        <v>166</v>
      </c>
      <c r="C35" s="12" t="s">
        <v>167</v>
      </c>
      <c r="D35" s="12" t="s">
        <v>168</v>
      </c>
      <c r="E35" s="12" t="s">
        <v>169</v>
      </c>
      <c r="F35" s="12" t="s">
        <v>170</v>
      </c>
      <c r="G35" s="12" t="s">
        <v>171</v>
      </c>
      <c r="H35" s="12" t="s">
        <v>172</v>
      </c>
      <c r="I35" s="12" t="s">
        <v>173</v>
      </c>
      <c r="J35" s="12" t="s">
        <v>174</v>
      </c>
      <c r="K35" s="12" t="s">
        <v>175</v>
      </c>
      <c r="L35" s="12" t="s">
        <v>176</v>
      </c>
      <c r="M35" s="12" t="s">
        <v>177</v>
      </c>
      <c r="N35" s="12" t="s">
        <v>178</v>
      </c>
      <c r="O35" s="12" t="s">
        <v>179</v>
      </c>
      <c r="P35" s="12" t="s">
        <v>180</v>
      </c>
      <c r="Q35" s="12" t="s">
        <v>181</v>
      </c>
      <c r="R35" s="12" t="s">
        <v>182</v>
      </c>
    </row>
    <row r="36" spans="2:18">
      <c r="B36" s="13" t="s">
        <v>183</v>
      </c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</row>
    <row r="37" spans="2:18">
      <c r="B37" s="6" t="s">
        <v>184</v>
      </c>
      <c r="C37" s="20">
        <f>Assumptions!C26</f>
        <v>40000</v>
      </c>
      <c r="D37" s="20">
        <f>Assumptions!C26</f>
        <v>40000</v>
      </c>
      <c r="E37" s="20">
        <f>D40</f>
        <v>39801.52319409185</v>
      </c>
      <c r="F37" s="20">
        <f>E40</f>
        <v>39603.046388183706</v>
      </c>
      <c r="G37" s="20">
        <f>F40</f>
        <v>39404.56958227556</v>
      </c>
      <c r="H37" s="20">
        <f>G40</f>
        <v>39206.09277636741</v>
      </c>
      <c r="I37" s="20">
        <f>H40</f>
        <v>39007.615970459265</v>
      </c>
      <c r="J37" s="20">
        <f>I40</f>
        <v>38809.13916455112</v>
      </c>
      <c r="K37" s="20">
        <f>J40</f>
        <v>38610.66235864297</v>
      </c>
      <c r="L37" s="20">
        <f>K40</f>
        <v>38412.18555273482</v>
      </c>
      <c r="M37" s="20">
        <f>L40</f>
        <v>38213.708746826676</v>
      </c>
      <c r="N37" s="20">
        <f>M40</f>
        <v>38015.23194091853</v>
      </c>
      <c r="O37" s="20">
        <f>N40</f>
        <v>37816.75513501038</v>
      </c>
      <c r="P37" s="20">
        <f>O40</f>
        <v>37618.278329102235</v>
      </c>
    </row>
    <row r="38" spans="2:18">
      <c r="B38" s="6" t="s">
        <v>185</v>
      </c>
      <c r="C38" s="20">
        <f>Assumptions!C26</f>
        <v>40000</v>
      </c>
      <c r="D38" s="20">
        <f>Assumptions!C27</f>
        <v>14308.792984075697</v>
      </c>
      <c r="E38" s="20">
        <f>Assumptions!C27</f>
        <v>14308.792984075697</v>
      </c>
      <c r="F38" s="20">
        <f>Assumptions!C27</f>
        <v>14308.792984075697</v>
      </c>
      <c r="G38" s="20">
        <f>Assumptions!C27</f>
        <v>14308.792984075697</v>
      </c>
      <c r="H38" s="20">
        <f>Assumptions!C27</f>
        <v>14308.792984075697</v>
      </c>
      <c r="I38" s="20">
        <f>Assumptions!C27</f>
        <v>14308.792984075697</v>
      </c>
      <c r="J38" s="20">
        <f>Assumptions!C27</f>
        <v>14308.792984075697</v>
      </c>
      <c r="K38" s="20">
        <f>Assumptions!C27</f>
        <v>14308.792984075697</v>
      </c>
      <c r="L38" s="20">
        <f>Assumptions!C27</f>
        <v>14308.792984075697</v>
      </c>
      <c r="M38" s="20">
        <f>Assumptions!C27</f>
        <v>14308.792984075697</v>
      </c>
      <c r="N38" s="20">
        <f>Assumptions!C27</f>
        <v>14308.792984075697</v>
      </c>
      <c r="O38" s="20">
        <f>Assumptions!C27</f>
        <v>14308.792984075697</v>
      </c>
      <c r="P38" s="20">
        <f>Assumptions!C27</f>
        <v>14308.792984075697</v>
      </c>
    </row>
    <row r="39" spans="2:18">
      <c r="B39" s="6" t="s">
        <v>186</v>
      </c>
      <c r="C39" s="20">
        <f>Assumptions!C26</f>
        <v>40000</v>
      </c>
      <c r="D39" s="20">
        <f>Assumptions!C28</f>
        <v>14507.269789983844</v>
      </c>
      <c r="E39" s="20">
        <f>Assumptions!C28</f>
        <v>14507.269789983844</v>
      </c>
      <c r="F39" s="20">
        <f>Assumptions!C28</f>
        <v>14507.269789983844</v>
      </c>
      <c r="G39" s="20">
        <f>Assumptions!C28</f>
        <v>14507.269789983844</v>
      </c>
      <c r="H39" s="20">
        <f>Assumptions!C28</f>
        <v>14507.269789983844</v>
      </c>
      <c r="I39" s="20">
        <f>Assumptions!C28</f>
        <v>14507.269789983844</v>
      </c>
      <c r="J39" s="20">
        <f>Assumptions!C28</f>
        <v>14507.269789983844</v>
      </c>
      <c r="K39" s="20">
        <f>Assumptions!C28</f>
        <v>14507.269789983844</v>
      </c>
      <c r="L39" s="20">
        <f>Assumptions!C28</f>
        <v>14507.269789983844</v>
      </c>
      <c r="M39" s="20">
        <f>Assumptions!C28</f>
        <v>14507.269789983844</v>
      </c>
      <c r="N39" s="20">
        <f>Assumptions!C28</f>
        <v>14507.269789983844</v>
      </c>
      <c r="O39" s="20">
        <f>Assumptions!C28</f>
        <v>14507.269789983844</v>
      </c>
      <c r="P39" s="20">
        <f>Assumptions!C28</f>
        <v>14507.269789983844</v>
      </c>
    </row>
    <row r="40" spans="2:18">
      <c r="B40" s="18" t="s">
        <v>187</v>
      </c>
      <c r="C40" s="20">
        <f>Assumptions!C26</f>
        <v>40000</v>
      </c>
      <c r="D40" s="20">
        <f>D37+D38-D39</f>
        <v>39801.52319409185</v>
      </c>
      <c r="E40" s="20">
        <f>E37+E38-E39</f>
        <v>39603.046388183706</v>
      </c>
      <c r="F40" s="20">
        <f>F37+F38-F39</f>
        <v>39404.56958227556</v>
      </c>
      <c r="G40" s="20">
        <f>G37+G38-G39</f>
        <v>39206.09277636741</v>
      </c>
      <c r="H40" s="20">
        <f>H37+H38-H39</f>
        <v>39007.615970459265</v>
      </c>
      <c r="I40" s="20">
        <f>I37+I38-I39</f>
        <v>38809.13916455112</v>
      </c>
      <c r="J40" s="20">
        <f>J37+J38-J39</f>
        <v>38610.66235864297</v>
      </c>
      <c r="K40" s="20">
        <f>K37+K38-K39</f>
        <v>38412.18555273482</v>
      </c>
      <c r="L40" s="20">
        <f>L37+L38-L39</f>
        <v>38213.708746826676</v>
      </c>
      <c r="M40" s="20">
        <f>M37+M38-M39</f>
        <v>38015.23194091853</v>
      </c>
      <c r="N40" s="20">
        <f>N37+N38-N39</f>
        <v>37816.75513501038</v>
      </c>
      <c r="O40" s="20">
        <f>O37+O38-O39</f>
        <v>37618.278329102235</v>
      </c>
      <c r="P40" s="20">
        <f>P37+P38-P39</f>
        <v>37419.80152319409</v>
      </c>
      <c r="Q40" s="22">
        <f>SUM(D38:P38)</f>
        <v>186014.30879298405</v>
      </c>
      <c r="R40" s="8" t="s">
        <v>188</v>
      </c>
    </row>
    <row r="41" spans="2:18">
      <c r="B41" s="18" t="s">
        <v>189</v>
      </c>
      <c r="C41" s="20">
        <f>MIN(D40:P40)</f>
        <v>37419.80152319409</v>
      </c>
    </row>
    <row r="43" spans="2:18">
      <c r="B43" s="13" t="s">
        <v>190</v>
      </c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</row>
    <row r="44" spans="2:18">
      <c r="B44" s="6" t="s">
        <v>184</v>
      </c>
      <c r="C44" s="20">
        <f>Assumptions!C26</f>
        <v>40000</v>
      </c>
      <c r="D44" s="20">
        <f>Assumptions!C26</f>
        <v>40000</v>
      </c>
      <c r="E44" s="20">
        <f>D47</f>
        <v>39801.52319409185</v>
      </c>
      <c r="F44" s="20">
        <f>E47</f>
        <v>39603.046388183706</v>
      </c>
      <c r="G44" s="20">
        <f>F47</f>
        <v>39404.56958227556</v>
      </c>
      <c r="H44" s="20">
        <f>G47</f>
        <v>39206.09277636741</v>
      </c>
      <c r="I44" s="20">
        <f>H47</f>
        <v>33974.02304168117</v>
      </c>
      <c r="J44" s="20">
        <f>I47</f>
        <v>33775.54623577302</v>
      </c>
      <c r="K44" s="20">
        <f>J47</f>
        <v>33577.069429864874</v>
      </c>
      <c r="L44" s="20">
        <f>K47</f>
        <v>33378.59262395673</v>
      </c>
      <c r="M44" s="20">
        <f>L47</f>
        <v>28146.522889270484</v>
      </c>
      <c r="N44" s="20">
        <f>M47</f>
        <v>27948.046083362337</v>
      </c>
      <c r="O44" s="20">
        <f>N47</f>
        <v>27749.56927745419</v>
      </c>
      <c r="P44" s="20">
        <f>O47</f>
        <v>27551.092471546042</v>
      </c>
    </row>
    <row r="45" spans="2:18">
      <c r="B45" s="6" t="s">
        <v>185</v>
      </c>
      <c r="C45" s="20">
        <f>Assumptions!C26</f>
        <v>40000</v>
      </c>
      <c r="D45" s="20">
        <f>Assumptions!C27</f>
        <v>14308.792984075697</v>
      </c>
      <c r="E45" s="20">
        <f>Assumptions!C27</f>
        <v>14308.792984075697</v>
      </c>
      <c r="F45" s="20">
        <f>Assumptions!C27</f>
        <v>14308.792984075697</v>
      </c>
      <c r="G45" s="20">
        <f>Assumptions!C27</f>
        <v>14308.792984075697</v>
      </c>
      <c r="H45" s="20">
        <f>Assumptions!C27*(1-Assumptions!C29)</f>
        <v>12162.474036464342</v>
      </c>
      <c r="I45" s="20">
        <f>Assumptions!C27</f>
        <v>14308.792984075697</v>
      </c>
      <c r="J45" s="20">
        <f>Assumptions!C27</f>
        <v>14308.792984075697</v>
      </c>
      <c r="K45" s="20">
        <f>Assumptions!C27</f>
        <v>14308.792984075697</v>
      </c>
      <c r="L45" s="20">
        <f>Assumptions!C27*(1-Assumptions!C29)</f>
        <v>12162.474036464342</v>
      </c>
      <c r="M45" s="20">
        <f>Assumptions!C27</f>
        <v>14308.792984075697</v>
      </c>
      <c r="N45" s="20">
        <f>Assumptions!C27</f>
        <v>14308.792984075697</v>
      </c>
      <c r="O45" s="20">
        <f>Assumptions!C27</f>
        <v>14308.792984075697</v>
      </c>
      <c r="P45" s="20">
        <f>Assumptions!C27*(1-Assumptions!C29)</f>
        <v>12162.474036464342</v>
      </c>
    </row>
    <row r="46" spans="2:18">
      <c r="B46" s="6" t="s">
        <v>191</v>
      </c>
      <c r="C46" s="20">
        <f>Assumptions!C26</f>
        <v>40000</v>
      </c>
      <c r="D46" s="20">
        <f>Assumptions!C28</f>
        <v>14507.269789983844</v>
      </c>
      <c r="E46" s="20">
        <f>Assumptions!C28</f>
        <v>14507.269789983844</v>
      </c>
      <c r="F46" s="20">
        <f>Assumptions!C28</f>
        <v>14507.269789983844</v>
      </c>
      <c r="G46" s="20">
        <f>Assumptions!C28</f>
        <v>14507.269789983844</v>
      </c>
      <c r="H46" s="20">
        <f>Assumptions!C28+Schedule!C6</f>
        <v>17394.543771150587</v>
      </c>
      <c r="I46" s="20">
        <f>Assumptions!C28</f>
        <v>14507.269789983844</v>
      </c>
      <c r="J46" s="20">
        <f>Assumptions!C28</f>
        <v>14507.269789983844</v>
      </c>
      <c r="K46" s="20">
        <f>Assumptions!C28</f>
        <v>14507.269789983844</v>
      </c>
      <c r="L46" s="20">
        <f>Assumptions!C28+Schedule!C6</f>
        <v>17394.543771150587</v>
      </c>
      <c r="M46" s="20">
        <f>Assumptions!C28</f>
        <v>14507.269789983844</v>
      </c>
      <c r="N46" s="20">
        <f>Assumptions!C28</f>
        <v>14507.269789983844</v>
      </c>
      <c r="O46" s="20">
        <f>Assumptions!C28</f>
        <v>14507.269789983844</v>
      </c>
      <c r="P46" s="20">
        <f>Assumptions!C28+Schedule!C6</f>
        <v>17394.543771150587</v>
      </c>
    </row>
    <row r="47" spans="2:18">
      <c r="B47" s="18" t="s">
        <v>192</v>
      </c>
      <c r="C47" s="20">
        <f>Assumptions!C26</f>
        <v>40000</v>
      </c>
      <c r="D47" s="20">
        <f>D44+D45-D46</f>
        <v>39801.52319409185</v>
      </c>
      <c r="E47" s="20">
        <f>E44+E45-E46</f>
        <v>39603.046388183706</v>
      </c>
      <c r="F47" s="20">
        <f>F44+F45-F46</f>
        <v>39404.56958227556</v>
      </c>
      <c r="G47" s="20">
        <f>G44+G45-G46</f>
        <v>39206.09277636741</v>
      </c>
      <c r="H47" s="20">
        <f>H44+H45-H46</f>
        <v>33974.02304168117</v>
      </c>
      <c r="I47" s="20">
        <f>I44+I45-I46</f>
        <v>33775.54623577302</v>
      </c>
      <c r="J47" s="20">
        <f>J44+J45-J46</f>
        <v>33577.069429864874</v>
      </c>
      <c r="K47" s="20">
        <f>K44+K45-K46</f>
        <v>33378.59262395673</v>
      </c>
      <c r="L47" s="20">
        <f>L44+L45-L46</f>
        <v>28146.522889270484</v>
      </c>
      <c r="M47" s="20">
        <f>M44+M45-M46</f>
        <v>27948.046083362337</v>
      </c>
      <c r="N47" s="20">
        <f>N44+N45-N46</f>
        <v>27749.56927745419</v>
      </c>
      <c r="O47" s="20">
        <f>O44+O45-O46</f>
        <v>27551.092471546042</v>
      </c>
      <c r="P47" s="20">
        <f>P44+P45-P46</f>
        <v>22319.0227368598</v>
      </c>
      <c r="Q47" s="22">
        <f>SUM(D45:P45)</f>
        <v>179575.35195014998</v>
      </c>
      <c r="R47" s="8" t="s">
        <v>188</v>
      </c>
    </row>
    <row r="48" spans="2:18">
      <c r="B48" s="6" t="s">
        <v>193</v>
      </c>
      <c r="D48" s="30">
        <f>IF(D47&lt;0,"Y","")</f>
        <v/>
      </c>
      <c r="E48" s="30">
        <f>IF(E47&lt;0,"Y","")</f>
        <v/>
      </c>
      <c r="F48" s="30">
        <f>IF(F47&lt;0,"Y","")</f>
        <v/>
      </c>
      <c r="G48" s="30">
        <f>IF(G47&lt;0,"Y","")</f>
        <v/>
      </c>
      <c r="H48" s="30">
        <f>IF(H47&lt;0,"Y","")</f>
        <v/>
      </c>
      <c r="I48" s="30">
        <f>IF(I47&lt;0,"Y","")</f>
        <v/>
      </c>
      <c r="J48" s="30">
        <f>IF(J47&lt;0,"Y","")</f>
        <v/>
      </c>
      <c r="K48" s="30">
        <f>IF(K47&lt;0,"Y","")</f>
        <v/>
      </c>
      <c r="L48" s="30">
        <f>IF(L47&lt;0,"Y","")</f>
        <v/>
      </c>
      <c r="M48" s="30">
        <f>IF(M47&lt;0,"Y","")</f>
        <v/>
      </c>
      <c r="N48" s="30">
        <f>IF(N47&lt;0,"Y","")</f>
        <v/>
      </c>
      <c r="O48" s="30">
        <f>IF(O47&lt;0,"Y","")</f>
        <v/>
      </c>
      <c r="P48" s="30">
        <f>IF(P47&lt;0,"Y","")</f>
        <v/>
      </c>
    </row>
    <row r="49" spans="2:4">
      <c r="B49" s="18" t="s">
        <v>194</v>
      </c>
      <c r="C49" s="20">
        <f>MIN(D47:P47)</f>
        <v>22319.0227368598</v>
      </c>
    </row>
    <row r="50" spans="2:4">
      <c r="B50" s="6" t="s">
        <v>195</v>
      </c>
      <c r="C50" s="19" t="str">
        <f>IF(MIN(D47:P47)&lt;0,MATCH(TRUE,INDEX(D47:P47&lt;0,0),0),"never")</f>
        <v>never</v>
      </c>
    </row>
    <row r="51" spans="2:4">
      <c r="B51" s="18" t="s">
        <v>196</v>
      </c>
      <c r="C51" s="20">
        <f>P47-P40</f>
        <v>-15100.77878633429</v>
      </c>
    </row>
    <row r="54" spans="2:4" ht="18" customHeight="1">
      <c r="B54" s="3" t="s">
        <v>197</v>
      </c>
      <c r="C54" s="3"/>
      <c r="D54" s="3"/>
    </row>
    <row r="55" spans="2:4">
      <c r="B55" s="18" t="s">
        <v>32</v>
      </c>
      <c r="C55" s="20">
        <f>P40</f>
        <v>37419.80152319409</v>
      </c>
      <c r="D55" s="8" t="s">
        <v>33</v>
      </c>
    </row>
    <row r="56" spans="2:4">
      <c r="B56" s="18" t="s">
        <v>34</v>
      </c>
      <c r="C56" s="20">
        <f>P47</f>
        <v>22319.0227368598</v>
      </c>
      <c r="D56" s="8" t="s">
        <v>35</v>
      </c>
    </row>
    <row r="57" spans="2:4">
      <c r="B57" s="18" t="s">
        <v>36</v>
      </c>
      <c r="C57" s="20">
        <f>P47-P40</f>
        <v>-15100.77878633429</v>
      </c>
      <c r="D57" s="8" t="s">
        <v>37</v>
      </c>
    </row>
    <row r="58" spans="2:4">
      <c r="B58" s="6" t="s">
        <v>194</v>
      </c>
      <c r="C58" s="20">
        <f>C49</f>
        <v>22319.0227368598</v>
      </c>
      <c r="D58" s="8" t="s">
        <v>198</v>
      </c>
    </row>
    <row r="59" spans="2:4">
      <c r="B59" s="6" t="s">
        <v>195</v>
      </c>
      <c r="C59" s="19" t="str">
        <f>C50</f>
        <v>never</v>
      </c>
      <c r="D59" s="8" t="s">
        <v>199</v>
      </c>
    </row>
    <row r="66" spans="2:17" ht="14" customHeight="1">
      <c r="B66" s="11" t="s">
        <v>42</v>
      </c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</row>
  </sheetData>
  <mergeCells count="11">
    <mergeCell ref="B2:Q2"/>
    <mergeCell ref="B3:Q3"/>
    <mergeCell ref="B5:D5"/>
    <mergeCell ref="B10:D10"/>
    <mergeCell ref="B23:D23"/>
    <mergeCell ref="B29:D29"/>
    <mergeCell ref="B34:Q34"/>
    <mergeCell ref="B36:R36"/>
    <mergeCell ref="B43:R43"/>
    <mergeCell ref="B54:D54"/>
    <mergeCell ref="B66:Q6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2:R46"/>
  <sheetViews>
    <sheetView showGridLines="0" workbookViewId="0"/>
  </sheetViews>
  <sheetFormatPr defaultRowHeight="15"/>
  <cols>
    <col min="1" max="1" width="2.7109375" customWidth="1"/>
    <col min="2" max="2" width="36.7109375" customWidth="1"/>
    <col min="3" max="6" width="18.7109375" customWidth="1"/>
    <col min="7" max="7" width="60.7109375" customWidth="1"/>
    <col min="8" max="8" width="2.7109375" customWidth="1"/>
  </cols>
  <sheetData>
    <row r="2" spans="2:7" ht="32" customHeight="1">
      <c r="B2" s="1" t="s">
        <v>200</v>
      </c>
      <c r="C2" s="1"/>
      <c r="D2" s="1"/>
      <c r="E2" s="1"/>
      <c r="F2" s="1"/>
      <c r="G2" s="1"/>
    </row>
    <row r="3" spans="2:7" ht="18" customHeight="1">
      <c r="B3" s="2" t="s">
        <v>201</v>
      </c>
      <c r="C3" s="2"/>
      <c r="D3" s="2"/>
      <c r="E3" s="2"/>
      <c r="F3" s="2"/>
      <c r="G3" s="2"/>
    </row>
    <row r="5" spans="2:7" ht="18" customHeight="1">
      <c r="B5" s="3" t="s">
        <v>202</v>
      </c>
      <c r="C5" s="3"/>
      <c r="D5" s="3"/>
      <c r="E5" s="3"/>
      <c r="F5" s="3"/>
      <c r="G5" s="3"/>
    </row>
    <row r="6" spans="2:7">
      <c r="B6" s="12" t="s">
        <v>203</v>
      </c>
      <c r="C6" s="12" t="s">
        <v>204</v>
      </c>
      <c r="D6" s="12" t="s">
        <v>205</v>
      </c>
      <c r="E6" s="12" t="s">
        <v>206</v>
      </c>
      <c r="G6" s="12" t="s">
        <v>182</v>
      </c>
    </row>
    <row r="7" spans="2:7">
      <c r="B7" s="6" t="s">
        <v>207</v>
      </c>
      <c r="C7" s="20">
        <f>Cash_Impact!P40</f>
        <v>37419.80152319409</v>
      </c>
      <c r="D7" s="20">
        <f>Cash_Impact!P47</f>
        <v>22319.0227368598</v>
      </c>
      <c r="E7" s="20">
        <f>Cash_Impact!P47-((Schedule!C7-Schedule!C6)*3)</f>
        <v>21528.800836675982</v>
      </c>
      <c r="G7" s="15" t="s">
        <v>208</v>
      </c>
    </row>
    <row r="8" spans="2:7">
      <c r="B8" s="6" t="s">
        <v>209</v>
      </c>
      <c r="C8" s="20">
        <f>Cash_Impact!C41</f>
        <v>37419.80152319409</v>
      </c>
      <c r="D8" s="20">
        <f>Cash_Impact!C49</f>
        <v>22319.0227368598</v>
      </c>
      <c r="E8" s="20">
        <f>Cash_Impact!C49-((Schedule!C7-Schedule!C6)*1)</f>
        <v>22055.615436798525</v>
      </c>
      <c r="G8" s="15" t="s">
        <v>210</v>
      </c>
    </row>
    <row r="9" spans="2:7">
      <c r="B9" s="6" t="s">
        <v>211</v>
      </c>
      <c r="C9" s="19" t="str">
        <f>IF(MIN(Cash_Impact!D40:P40)&lt;0,1,"never")</f>
        <v>never</v>
      </c>
      <c r="D9" s="19" t="str">
        <f>IF(MIN(Cash_Impact!D47:P47)&lt;0,1,"never")</f>
        <v>never</v>
      </c>
      <c r="E9" s="19" t="str">
        <f>IF(Cash_Impact!C49-((Schedule!C7-Schedule!C6)*1)&lt;0,1,"never")</f>
        <v>never</v>
      </c>
      <c r="G9" s="15" t="s">
        <v>212</v>
      </c>
    </row>
    <row r="11" spans="2:7" ht="18" customHeight="1">
      <c r="B11" s="3" t="s">
        <v>213</v>
      </c>
      <c r="C11" s="3"/>
      <c r="D11" s="3"/>
      <c r="E11" s="3"/>
      <c r="F11" s="3"/>
      <c r="G11" s="3"/>
    </row>
    <row r="12" spans="2:7">
      <c r="B12" s="6" t="s">
        <v>214</v>
      </c>
      <c r="C12" s="20">
        <f>0</f>
        <v>0</v>
      </c>
      <c r="D12" s="20">
        <f>Schedule!C6</f>
        <v>2887.2739811667425</v>
      </c>
      <c r="E12" s="20">
        <f>Schedule!C7</f>
        <v>3150.6812812280145</v>
      </c>
      <c r="G12" s="15" t="s">
        <v>215</v>
      </c>
    </row>
    <row r="13" spans="2:7">
      <c r="B13" s="6" t="s">
        <v>216</v>
      </c>
      <c r="C13" s="9">
        <f>Cash_Impact!C19</f>
        <v>0.0</v>
      </c>
      <c r="D13" s="9">
        <f>Cash_Impact!C19</f>
        <v>0.0</v>
      </c>
      <c r="E13" s="9">
        <f>Cash_Impact!C20</f>
        <v>0.0</v>
      </c>
      <c r="G13" s="15" t="s">
        <v>29</v>
      </c>
    </row>
    <row r="14" spans="2:7">
      <c r="B14" s="6" t="s">
        <v>217</v>
      </c>
      <c r="C14" s="28" t="str">
        <f>IF(C13&gt;=Assumptions!C20,"PASS","FAIL")</f>
        <v>FAIL</v>
      </c>
      <c r="D14" s="28" t="str">
        <f>IF(D13&gt;=Assumptions!C20,"PASS","FAIL")</f>
        <v>FAIL</v>
      </c>
      <c r="E14" s="28" t="str">
        <f>IF(E13&gt;=Assumptions!C20,"PASS","FAIL")</f>
        <v>FAIL</v>
      </c>
      <c r="G14" s="15" t="s">
        <v>218</v>
      </c>
    </row>
    <row r="15" spans="2:7">
      <c r="B15" s="6" t="s">
        <v>219</v>
      </c>
      <c r="C15" s="28" t="str">
        <f>IF(Cash_Impact!P40&gt;=0,"PASS","FAIL")</f>
        <v>PASS</v>
      </c>
      <c r="D15" s="28" t="str">
        <f>IF(Cash_Impact!P47&gt;=0,"PASS","FAIL")</f>
        <v>PASS</v>
      </c>
      <c r="E15" s="28" t="str">
        <f>IF(Cash_Impact!P47-((Schedule!C7-Schedule!C6)*3)&gt;=0,"PASS","FAIL")</f>
        <v>PASS</v>
      </c>
      <c r="G15" s="15" t="s">
        <v>220</v>
      </c>
    </row>
    <row r="17" spans="2:18" ht="18" customHeight="1">
      <c r="B17" s="3" t="s">
        <v>221</v>
      </c>
      <c r="C17" s="3"/>
      <c r="D17" s="3"/>
      <c r="E17" s="3"/>
      <c r="F17" s="3"/>
      <c r="G17" s="3"/>
    </row>
    <row r="18" spans="2:18">
      <c r="B18" s="12" t="s">
        <v>222</v>
      </c>
      <c r="C18" s="12" t="s">
        <v>205</v>
      </c>
      <c r="D18" s="12" t="s">
        <v>223</v>
      </c>
      <c r="E18" s="12" t="s">
        <v>224</v>
      </c>
      <c r="G18" s="12" t="s">
        <v>225</v>
      </c>
    </row>
    <row r="19" spans="2:18">
      <c r="B19" s="6" t="s">
        <v>226</v>
      </c>
      <c r="C19" s="9">
        <f>Cash_Impact!C19</f>
        <v>0.0</v>
      </c>
      <c r="D19" s="9">
        <f>Cash_Impact!C20</f>
        <v>0.0</v>
      </c>
      <c r="E19" s="9">
        <f>D19-C19</f>
        <v>0.0</v>
      </c>
      <c r="G19" s="15" t="s">
        <v>227</v>
      </c>
    </row>
    <row r="20" spans="2:18">
      <c r="B20" s="6" t="s">
        <v>228</v>
      </c>
      <c r="C20" s="20">
        <f>Schedule!C6</f>
        <v>2887.2739811667425</v>
      </c>
      <c r="D20" s="20">
        <f>Schedule!C7</f>
        <v>3150.6812812280145</v>
      </c>
      <c r="E20" s="20">
        <f>D20-C20</f>
        <v>263.40730006127205</v>
      </c>
      <c r="G20" s="15" t="s">
        <v>229</v>
      </c>
    </row>
    <row r="21" spans="2:18">
      <c r="B21" s="6" t="s">
        <v>230</v>
      </c>
      <c r="C21" s="20">
        <f>Cash_Impact!H47</f>
        <v>33974.02304168117</v>
      </c>
      <c r="D21" s="20">
        <f>Cash_Impact!H47-(Assumptions!C27*Assumptions!C29*2)</f>
        <v>29681.38514645846</v>
      </c>
      <c r="E21" s="20">
        <f>D21-C21</f>
        <v>-4292.637895222709</v>
      </c>
      <c r="G21" s="15" t="s">
        <v>231</v>
      </c>
    </row>
    <row r="22" spans="2:18">
      <c r="B22" s="6" t="s">
        <v>232</v>
      </c>
      <c r="C22" s="19" t="str">
        <f>IF(Cash_Impact!H47&lt;0,5,"never")</f>
        <v>never</v>
      </c>
      <c r="D22" s="19" t="str">
        <f>IF(Cash_Impact!H47-(Assumptions!C27*Assumptions!C29*2)&lt;0,5,"never")</f>
        <v>never</v>
      </c>
      <c r="G22" s="15" t="s">
        <v>233</v>
      </c>
    </row>
    <row r="25" spans="2:18" ht="18" customHeight="1">
      <c r="B25" s="3" t="s">
        <v>234</v>
      </c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2:18">
      <c r="B26" s="12" t="s">
        <v>235</v>
      </c>
      <c r="C26" s="12" t="s">
        <v>236</v>
      </c>
      <c r="D26" s="12" t="s">
        <v>237</v>
      </c>
      <c r="E26" s="12" t="s">
        <v>238</v>
      </c>
      <c r="F26" s="12" t="s">
        <v>239</v>
      </c>
    </row>
    <row r="27" spans="2:18" ht="14" customHeight="1">
      <c r="B27" s="23">
        <v>1</v>
      </c>
      <c r="C27" s="20">
        <f>Cash_Impact!D44</f>
        <v>40000</v>
      </c>
      <c r="D27" s="20">
        <f>Assumptions!C27</f>
        <v>14308.792984075697</v>
      </c>
      <c r="E27" s="20">
        <f>Assumptions!C28</f>
        <v>14507.269789983844</v>
      </c>
      <c r="F27" s="20">
        <f>C27+D27-E27</f>
        <v>39801.52319409185</v>
      </c>
    </row>
    <row r="28" spans="2:18" ht="14" customHeight="1">
      <c r="B28" s="23">
        <v>2</v>
      </c>
      <c r="C28" s="20">
        <f>Cash_Impact!E44</f>
        <v>39801.52319409185</v>
      </c>
      <c r="D28" s="20">
        <f>Assumptions!C27</f>
        <v>14308.792984075697</v>
      </c>
      <c r="E28" s="20">
        <f>Assumptions!C28</f>
        <v>14507.269789983844</v>
      </c>
      <c r="F28" s="20">
        <f>C28+D28-E28</f>
        <v>39603.046388183706</v>
      </c>
    </row>
    <row r="29" spans="2:18" ht="14" customHeight="1">
      <c r="B29" s="23">
        <v>3</v>
      </c>
      <c r="C29" s="20">
        <f>Cash_Impact!F44</f>
        <v>39603.046388183706</v>
      </c>
      <c r="D29" s="20">
        <f>Assumptions!C27</f>
        <v>14308.792984075697</v>
      </c>
      <c r="E29" s="20">
        <f>Assumptions!C28</f>
        <v>14507.269789983844</v>
      </c>
      <c r="F29" s="20">
        <f>C29+D29-E29</f>
        <v>39404.56958227556</v>
      </c>
    </row>
    <row r="30" spans="2:18" ht="14" customHeight="1">
      <c r="B30" s="23">
        <v>4</v>
      </c>
      <c r="C30" s="20">
        <f>Cash_Impact!G44</f>
        <v>39404.56958227556</v>
      </c>
      <c r="D30" s="20">
        <f>Assumptions!C27</f>
        <v>14308.792984075697</v>
      </c>
      <c r="E30" s="20">
        <f>Assumptions!C28</f>
        <v>14507.269789983844</v>
      </c>
      <c r="F30" s="20">
        <f>C30+D30-E30</f>
        <v>39206.09277636741</v>
      </c>
    </row>
    <row r="31" spans="2:18" ht="14" customHeight="1">
      <c r="B31" s="23">
        <v>5</v>
      </c>
      <c r="C31" s="20">
        <f>Cash_Impact!H44</f>
        <v>39206.09277636741</v>
      </c>
      <c r="D31" s="20">
        <f>Assumptions!C27*(1-Assumptions!C29)</f>
        <v>12162.474036464342</v>
      </c>
      <c r="E31" s="20">
        <f>Assumptions!C28+Schedule!C6</f>
        <v>17394.543771150587</v>
      </c>
      <c r="F31" s="20">
        <f>C31+D31-E31</f>
        <v>33974.02304168117</v>
      </c>
    </row>
    <row r="32" spans="2:18" ht="14" customHeight="1">
      <c r="B32" s="23">
        <v>6</v>
      </c>
      <c r="C32" s="20">
        <f>Cash_Impact!I44</f>
        <v>33974.02304168117</v>
      </c>
      <c r="D32" s="20">
        <f>Assumptions!C27</f>
        <v>14308.792984075697</v>
      </c>
      <c r="E32" s="20">
        <f>Assumptions!C28</f>
        <v>14507.269789983844</v>
      </c>
      <c r="F32" s="20">
        <f>C32+D32-E32</f>
        <v>33775.54623577302</v>
      </c>
    </row>
    <row r="33" spans="2:18" ht="14" customHeight="1">
      <c r="B33" s="23">
        <v>7</v>
      </c>
      <c r="C33" s="20">
        <f>Cash_Impact!J44</f>
        <v>33775.54623577302</v>
      </c>
      <c r="D33" s="20">
        <f>Assumptions!C27</f>
        <v>14308.792984075697</v>
      </c>
      <c r="E33" s="20">
        <f>Assumptions!C28</f>
        <v>14507.269789983844</v>
      </c>
      <c r="F33" s="20">
        <f>C33+D33-E33</f>
        <v>33577.069429864874</v>
      </c>
    </row>
    <row r="34" spans="2:18" ht="14" customHeight="1">
      <c r="B34" s="23">
        <v>8</v>
      </c>
      <c r="C34" s="20">
        <f>Cash_Impact!K44</f>
        <v>33577.069429864874</v>
      </c>
      <c r="D34" s="20">
        <f>Assumptions!C27</f>
        <v>14308.792984075697</v>
      </c>
      <c r="E34" s="20">
        <f>Assumptions!C28</f>
        <v>14507.269789983844</v>
      </c>
      <c r="F34" s="20">
        <f>C34+D34-E34</f>
        <v>33378.59262395673</v>
      </c>
    </row>
    <row r="35" spans="2:18" ht="14" customHeight="1">
      <c r="B35" s="23">
        <v>9</v>
      </c>
      <c r="C35" s="20">
        <f>Cash_Impact!L44</f>
        <v>33378.59262395673</v>
      </c>
      <c r="D35" s="20">
        <f>Assumptions!C27*(1-Assumptions!C29)</f>
        <v>12162.474036464342</v>
      </c>
      <c r="E35" s="20">
        <f>Assumptions!C28+Schedule!C6</f>
        <v>17394.543771150587</v>
      </c>
      <c r="F35" s="20">
        <f>C35+D35-E35</f>
        <v>28146.522889270484</v>
      </c>
    </row>
    <row r="36" spans="2:18" ht="14" customHeight="1">
      <c r="B36" s="23">
        <v>10</v>
      </c>
      <c r="C36" s="20">
        <f>Cash_Impact!M44</f>
        <v>28146.522889270484</v>
      </c>
      <c r="D36" s="20">
        <f>Assumptions!C27</f>
        <v>14308.792984075697</v>
      </c>
      <c r="E36" s="20">
        <f>Assumptions!C28</f>
        <v>14507.269789983844</v>
      </c>
      <c r="F36" s="20">
        <f>C36+D36-E36</f>
        <v>27948.046083362337</v>
      </c>
    </row>
    <row r="37" spans="2:18" ht="14" customHeight="1">
      <c r="B37" s="23">
        <v>11</v>
      </c>
      <c r="C37" s="20">
        <f>Cash_Impact!N44</f>
        <v>27948.046083362337</v>
      </c>
      <c r="D37" s="20">
        <f>Assumptions!C27</f>
        <v>14308.792984075697</v>
      </c>
      <c r="E37" s="20">
        <f>Assumptions!C28</f>
        <v>14507.269789983844</v>
      </c>
      <c r="F37" s="20">
        <f>C37+D37-E37</f>
        <v>27749.56927745419</v>
      </c>
    </row>
    <row r="38" spans="2:18" ht="14" customHeight="1">
      <c r="B38" s="23">
        <v>12</v>
      </c>
      <c r="C38" s="20">
        <f>Cash_Impact!O44</f>
        <v>27749.56927745419</v>
      </c>
      <c r="D38" s="20">
        <f>Assumptions!C27</f>
        <v>14308.792984075697</v>
      </c>
      <c r="E38" s="20">
        <f>Assumptions!C28</f>
        <v>14507.269789983844</v>
      </c>
      <c r="F38" s="20">
        <f>C38+D38-E38</f>
        <v>27551.092471546042</v>
      </c>
    </row>
    <row r="39" spans="2:18" ht="14" customHeight="1">
      <c r="B39" s="23">
        <v>13</v>
      </c>
      <c r="C39" s="20">
        <f>Cash_Impact!P44</f>
        <v>27551.092471546042</v>
      </c>
      <c r="D39" s="20">
        <f>Assumptions!C27*(1-Assumptions!C29)</f>
        <v>12162.474036464342</v>
      </c>
      <c r="E39" s="20">
        <f>Assumptions!C28+Schedule!C6</f>
        <v>17394.543771150587</v>
      </c>
      <c r="F39" s="20">
        <f>C39+D39-E39</f>
        <v>22319.0227368598</v>
      </c>
    </row>
    <row r="46" spans="2:18" ht="14" customHeight="1">
      <c r="B46" s="11" t="s">
        <v>42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</row>
  </sheetData>
  <mergeCells count="7">
    <mergeCell ref="B2:G2"/>
    <mergeCell ref="B3:G3"/>
    <mergeCell ref="B5:G5"/>
    <mergeCell ref="B11:G11"/>
    <mergeCell ref="B17:G17"/>
    <mergeCell ref="B25:R25"/>
    <mergeCell ref="B46:R4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2:E49"/>
  <sheetViews>
    <sheetView showGridLines="0" workbookViewId="0"/>
  </sheetViews>
  <sheetFormatPr defaultRowHeight="15"/>
  <cols>
    <col min="1" max="1" width="2.7109375" customWidth="1"/>
    <col min="2" max="2" width="40.7109375" customWidth="1"/>
    <col min="3" max="3" width="18.7109375" customWidth="1"/>
    <col min="4" max="4" width="8.7109375" customWidth="1"/>
    <col min="5" max="5" width="60.7109375" customWidth="1"/>
    <col min="6" max="6" width="2.7109375" customWidth="1"/>
  </cols>
  <sheetData>
    <row r="2" spans="2:5" ht="36" customHeight="1">
      <c r="B2" s="1" t="s">
        <v>240</v>
      </c>
      <c r="C2" s="1"/>
      <c r="D2" s="1"/>
      <c r="E2" s="1"/>
    </row>
    <row r="3" spans="2:5" ht="18" customHeight="1">
      <c r="B3" s="2" t="s">
        <v>241</v>
      </c>
      <c r="C3" s="2"/>
      <c r="D3" s="2"/>
      <c r="E3" s="2"/>
    </row>
    <row r="5" spans="2:5" ht="18" customHeight="1">
      <c r="B5" s="3" t="s">
        <v>40</v>
      </c>
      <c r="C5" s="3"/>
      <c r="D5" s="3"/>
      <c r="E5" s="3"/>
    </row>
    <row r="6" spans="2:5" ht="44" customHeight="1">
      <c r="B6" s="10" t="str">
        <f>IF(AND(Cash_Impact!C26="PASS",Cash_Impact!C27="PASS",Cash_Impact!C28="PASS"),"AFFORD","DO NOT AFFORD")</f>
        <v>DO NOT AFFORD</v>
      </c>
      <c r="C6"/>
      <c r="D6"/>
      <c r="E6"/>
    </row>
    <row r="7" spans="2:5" ht="30" customHeight="1">
      <c r="B7" s="4" t="s">
        <v>242</v>
      </c>
      <c r="C7" s="4"/>
      <c r="D7" s="4"/>
      <c r="E7" s="4"/>
    </row>
    <row r="9" spans="2:5" ht="18" customHeight="1">
      <c r="B9" s="3" t="s">
        <v>243</v>
      </c>
      <c r="C9" s="3"/>
      <c r="D9" s="3"/>
      <c r="E9" s="3"/>
    </row>
    <row r="10" spans="2:5">
      <c r="B10" s="12" t="s">
        <v>45</v>
      </c>
      <c r="C10" s="12" t="s">
        <v>46</v>
      </c>
      <c r="D10" s="12" t="s">
        <v>47</v>
      </c>
      <c r="E10" s="12" t="s">
        <v>142</v>
      </c>
    </row>
    <row r="11" spans="2:5">
      <c r="B11" s="6" t="s">
        <v>22</v>
      </c>
      <c r="C11" s="14">
        <f>Assumptions!C8</f>
        <v>0.0688</v>
      </c>
      <c r="D11" s="8" t="s">
        <v>51</v>
      </c>
      <c r="E11" s="15" t="s">
        <v>23</v>
      </c>
    </row>
    <row r="12" spans="2:5">
      <c r="B12" s="6" t="s">
        <v>60</v>
      </c>
      <c r="C12" s="20">
        <f>Assumptions!C13</f>
        <v>250000</v>
      </c>
      <c r="D12" s="8" t="s">
        <v>61</v>
      </c>
      <c r="E12" s="15" t="s">
        <v>244</v>
      </c>
    </row>
    <row r="13" spans="2:5">
      <c r="B13" s="6" t="s">
        <v>245</v>
      </c>
      <c r="C13" s="21">
        <f>Assumptions!C14</f>
        <v>10</v>
      </c>
      <c r="D13" s="8" t="s">
        <v>64</v>
      </c>
      <c r="E13" s="15" t="s">
        <v>244</v>
      </c>
    </row>
    <row r="14" spans="2:5">
      <c r="B14" s="6" t="s">
        <v>24</v>
      </c>
      <c r="C14" s="20">
        <f>Schedule!C6</f>
        <v>2887.2739811667425</v>
      </c>
      <c r="D14" s="8" t="s">
        <v>124</v>
      </c>
      <c r="E14" s="15" t="s">
        <v>25</v>
      </c>
    </row>
    <row r="15" spans="2:5">
      <c r="B15" s="6" t="s">
        <v>26</v>
      </c>
      <c r="C15" s="20">
        <f>Schedule!C7</f>
        <v>3150.6812812280145</v>
      </c>
      <c r="D15" s="8" t="s">
        <v>124</v>
      </c>
      <c r="E15" s="15" t="s">
        <v>27</v>
      </c>
    </row>
    <row r="16" spans="2:5">
      <c r="B16" s="18" t="s">
        <v>127</v>
      </c>
      <c r="C16" s="20">
        <f>Schedule!C9</f>
        <v>346472.8777400091</v>
      </c>
      <c r="D16" s="8" t="s">
        <v>61</v>
      </c>
      <c r="E16" s="15" t="s">
        <v>246</v>
      </c>
    </row>
    <row r="17" spans="2:5">
      <c r="B17" s="18" t="s">
        <v>128</v>
      </c>
      <c r="C17" s="20">
        <f>Schedule!C10</f>
        <v>96472.8777400091</v>
      </c>
      <c r="D17" s="8" t="s">
        <v>61</v>
      </c>
      <c r="E17" s="15" t="s">
        <v>247</v>
      </c>
    </row>
    <row r="19" spans="2:5" ht="18" customHeight="1">
      <c r="B19" s="3" t="s">
        <v>248</v>
      </c>
      <c r="C19" s="3"/>
      <c r="D19" s="3"/>
      <c r="E19" s="3"/>
    </row>
    <row r="20" spans="2:5">
      <c r="B20" s="12" t="s">
        <v>249</v>
      </c>
      <c r="C20" s="12" t="s">
        <v>250</v>
      </c>
      <c r="D20" s="12" t="s">
        <v>251</v>
      </c>
      <c r="E20" s="12" t="s">
        <v>252</v>
      </c>
    </row>
    <row r="21" spans="2:5">
      <c r="B21" s="6" t="s">
        <v>253</v>
      </c>
      <c r="C21" s="9">
        <f>Cash_Impact!C19</f>
        <v>0.0</v>
      </c>
      <c r="D21" s="9">
        <f>Cash_Impact!C18</f>
        <v>1.25</v>
      </c>
      <c r="E21" s="28" t="str">
        <f>IF(Cash_Impact!C19&gt;=Cash_Impact!C18,"PASS","FAIL")</f>
        <v>FAIL</v>
      </c>
    </row>
    <row r="22" spans="2:5">
      <c r="B22" s="6" t="s">
        <v>254</v>
      </c>
      <c r="C22" s="9">
        <f>Cash_Impact!C20</f>
        <v>0.0</v>
      </c>
      <c r="D22" s="9">
        <f>Cash_Impact!C18</f>
        <v>1.25</v>
      </c>
      <c r="E22" s="28" t="str">
        <f>IF(Cash_Impact!C20&gt;=Cash_Impact!C18,"PASS","FAIL")</f>
        <v>FAIL</v>
      </c>
    </row>
    <row r="23" spans="2:5">
      <c r="B23" s="6" t="s">
        <v>255</v>
      </c>
      <c r="C23" s="19" t="str">
        <f>IF(Cash_Impact!P47&gt;=0,"no negative week","W"&amp;Cash_Impact!C50)</f>
        <v>no negative week</v>
      </c>
      <c r="D23" s="8" t="s">
        <v>256</v>
      </c>
      <c r="E23" s="28" t="str">
        <f>IF(Cash_Impact!P47&gt;=0,"PASS","FAIL")</f>
        <v>PASS</v>
      </c>
    </row>
    <row r="25" spans="2:5" ht="18" customHeight="1">
      <c r="B25" s="3" t="s">
        <v>257</v>
      </c>
      <c r="C25" s="3"/>
      <c r="D25" s="3"/>
      <c r="E25" s="3"/>
    </row>
    <row r="26" spans="2:5">
      <c r="B26" s="12" t="s">
        <v>45</v>
      </c>
      <c r="C26" s="12" t="s">
        <v>46</v>
      </c>
      <c r="D26" s="12" t="s">
        <v>47</v>
      </c>
      <c r="E26" s="12" t="s">
        <v>142</v>
      </c>
    </row>
    <row r="27" spans="2:5">
      <c r="B27" s="6" t="s">
        <v>258</v>
      </c>
      <c r="C27" s="20">
        <f>Cash_Impact!P40</f>
        <v>37419.80152319409</v>
      </c>
      <c r="D27" s="8" t="s">
        <v>61</v>
      </c>
      <c r="E27" s="15" t="s">
        <v>33</v>
      </c>
    </row>
    <row r="28" spans="2:5">
      <c r="B28" s="6" t="s">
        <v>259</v>
      </c>
      <c r="C28" s="20">
        <f>Cash_Impact!P47</f>
        <v>22319.0227368598</v>
      </c>
      <c r="D28" s="8" t="s">
        <v>61</v>
      </c>
      <c r="E28" s="15" t="s">
        <v>35</v>
      </c>
    </row>
    <row r="29" spans="2:5">
      <c r="B29" s="18" t="s">
        <v>260</v>
      </c>
      <c r="C29" s="20">
        <f>Cash_Impact!P47-Cash_Impact!P40</f>
        <v>-15100.77878633429</v>
      </c>
      <c r="D29" s="8" t="s">
        <v>61</v>
      </c>
      <c r="E29" s="15" t="s">
        <v>261</v>
      </c>
    </row>
    <row r="30" spans="2:5">
      <c r="B30" s="6" t="s">
        <v>194</v>
      </c>
      <c r="C30" s="20">
        <f>Cash_Impact!C49</f>
        <v>22319.0227368598</v>
      </c>
      <c r="D30" s="8" t="s">
        <v>61</v>
      </c>
      <c r="E30" s="15" t="s">
        <v>198</v>
      </c>
    </row>
    <row r="31" spans="2:5">
      <c r="B31" s="6" t="s">
        <v>195</v>
      </c>
      <c r="C31" s="19" t="str">
        <f>Cash_Impact!C50</f>
        <v>never</v>
      </c>
      <c r="D31" s="8" t="s">
        <v>70</v>
      </c>
      <c r="E31" s="15" t="s">
        <v>199</v>
      </c>
    </row>
    <row r="33" spans="2:5" ht="18" customHeight="1">
      <c r="B33" s="3" t="s">
        <v>160</v>
      </c>
      <c r="C33" s="3"/>
      <c r="D33" s="3"/>
      <c r="E33" s="3"/>
    </row>
    <row r="34" spans="2:5">
      <c r="B34" s="12" t="s">
        <v>45</v>
      </c>
      <c r="C34" s="12" t="s">
        <v>46</v>
      </c>
      <c r="D34" s="12" t="s">
        <v>47</v>
      </c>
      <c r="E34" s="12" t="s">
        <v>142</v>
      </c>
    </row>
    <row r="35" spans="2:5">
      <c r="B35" s="18" t="s">
        <v>262</v>
      </c>
      <c r="C35" s="20">
        <f>Cash_Impact!C30</f>
        <v>9624.24660388914</v>
      </c>
      <c r="D35" s="8" t="s">
        <v>61</v>
      </c>
      <c r="E35" s="15" t="s">
        <v>162</v>
      </c>
    </row>
    <row r="36" spans="2:5">
      <c r="B36" s="6" t="s">
        <v>163</v>
      </c>
      <c r="C36" s="29">
        <f>Cash_Impact!C31</f>
        <v>0.1552297839336958</v>
      </c>
      <c r="D36" s="8" t="s">
        <v>51</v>
      </c>
      <c r="E36" s="15" t="s">
        <v>164</v>
      </c>
    </row>
    <row r="38" spans="2:5" ht="18" customHeight="1">
      <c r="B38" s="3" t="s">
        <v>263</v>
      </c>
      <c r="C38" s="3"/>
      <c r="D38" s="3"/>
      <c r="E38" s="3"/>
    </row>
    <row r="39" spans="2:5">
      <c r="B39" s="4" t="s">
        <v>264</v>
      </c>
      <c r="C39" s="4"/>
      <c r="D39" s="4"/>
      <c r="E39" s="4"/>
    </row>
    <row r="41" spans="2:5" ht="18" customHeight="1">
      <c r="B41" s="3" t="s">
        <v>265</v>
      </c>
      <c r="C41" s="3"/>
      <c r="D41" s="3"/>
      <c r="E41" s="3"/>
    </row>
    <row r="42" spans="2:5">
      <c r="B42" s="4" t="s">
        <v>266</v>
      </c>
      <c r="C42" s="4"/>
      <c r="D42" s="4"/>
      <c r="E42" s="4"/>
    </row>
    <row r="49" spans="2:5" ht="14" customHeight="1">
      <c r="B49" s="11" t="s">
        <v>42</v>
      </c>
      <c r="C49" s="11"/>
      <c r="D49" s="11"/>
      <c r="E49" s="11"/>
    </row>
  </sheetData>
  <mergeCells count="13">
    <mergeCell ref="B2:E2"/>
    <mergeCell ref="B3:E3"/>
    <mergeCell ref="B5:E5"/>
    <mergeCell ref="B7:E7"/>
    <mergeCell ref="B9:E9"/>
    <mergeCell ref="B19:E19"/>
    <mergeCell ref="B25:E25"/>
    <mergeCell ref="B33:E33"/>
    <mergeCell ref="B38:E38"/>
    <mergeCell ref="B39:E39"/>
    <mergeCell ref="B41:E41"/>
    <mergeCell ref="B42:E42"/>
    <mergeCell ref="B49:E4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Cover</vt:lpstr>
      <vt:lpstr>Assumptions</vt:lpstr>
      <vt:lpstr>Schedule</vt:lpstr>
      <vt:lpstr>Cash_Impact</vt:lpstr>
      <vt:lpstr>Scenarios</vt:lpstr>
      <vt:lpstr>Verdict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2026-08-13T12:08:54Z</dcterms:created>
  <dcterms:modified xsi:type="dcterms:W3CDTF">2026-08-13T12:08:54Z</dcterms:modified>
</cp:coreProperties>
</file>